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tte/Downloads/"/>
    </mc:Choice>
  </mc:AlternateContent>
  <xr:revisionPtr revIDLastSave="0" documentId="8_{8819E37F-E8F6-9C4A-B063-72136FE8627A}" xr6:coauthVersionLast="46" xr6:coauthVersionMax="46" xr10:uidLastSave="{00000000-0000-0000-0000-000000000000}"/>
  <bookViews>
    <workbookView xWindow="0" yWindow="500" windowWidth="28200" windowHeight="1602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state="hidden" r:id="rId5"/>
    <sheet name="BUPL" sheetId="20" r:id="rId6"/>
    <sheet name="3f (LS_DSSV)" sheetId="24" state="hidden" r:id="rId7"/>
    <sheet name="HK (LS)" sheetId="16" state="hidden" r:id="rId8"/>
    <sheet name="3f (DFF, DPS, DSSV)" sheetId="33" state="hidden" r:id="rId9"/>
    <sheet name="3F (DPS)" sheetId="32" state="hidden" r:id="rId10"/>
    <sheet name="HK (DFF, DPS)" sheetId="34" state="hidden" r:id="rId11"/>
    <sheet name="Krifa" sheetId="39" r:id="rId12"/>
    <sheet name="Generelle satser" sheetId="11" r:id="rId13"/>
    <sheet name="Statens skalatrin" sheetId="10" r:id="rId14"/>
    <sheet name="Løntabel gældende fra" sheetId="12" r:id="rId15"/>
  </sheets>
  <externalReferences>
    <externalReference r:id="rId16"/>
  </externalReferences>
  <definedNames>
    <definedName name="procentregulering">[1]aarslon!$A$1</definedName>
    <definedName name="_xlnm.Print_Area" localSheetId="8">'3f (DFF, DPS, DSSV)'!$A$1:$J$57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1'!$A$1:$I$27</definedName>
    <definedName name="_xlnm.Print_Area" localSheetId="12">'Generelle satser'!$A$1:$H$104</definedName>
    <definedName name="_xlnm.Print_Area" localSheetId="4">Gymnasieskoler!$A$1:$H$127</definedName>
    <definedName name="_xlnm.Print_Area" localSheetId="10">'HK (DFF, DPS)'!$A$1:$K$76</definedName>
    <definedName name="_xlnm.Print_Area" localSheetId="7">'HK (LS)'!$A$1:$G$38</definedName>
    <definedName name="_xlnm.Print_Area" localSheetId="11">Krifa!$A$1:$J$55</definedName>
    <definedName name="_xlnm.Print_Area" localSheetId="3">Ledere!$A$1:$G$87</definedName>
    <definedName name="_xlnm.Print_Area" localSheetId="2">'Lærere og bh kl ledere'!$A$1:$I$166</definedName>
    <definedName name="_xlnm.Print_Area" localSheetId="14">'Løntabel gældende fra'!$A$1:$G$23</definedName>
    <definedName name="_xlnm.Print_Area" localSheetId="13">'Statens skalatrin'!$A$1:$P$158</definedName>
    <definedName name="_xlnm.Print_Titles" localSheetId="8">'3f (DFF, DPS,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Ledere!#REF!</definedName>
    <definedName name="_xlnm.Print_Titles" localSheetId="2">'Lærere og bh kl ledere'!$1:$3</definedName>
    <definedName name="_xlnm.Print_Titles" localSheetId="13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7" i="20" l="1"/>
  <c r="F76" i="20"/>
  <c r="E77" i="20"/>
  <c r="E76" i="20"/>
  <c r="D77" i="20"/>
  <c r="D76" i="20"/>
  <c r="C77" i="20"/>
  <c r="C76" i="20"/>
  <c r="B77" i="20"/>
  <c r="B76" i="20"/>
  <c r="G76" i="34" l="1"/>
  <c r="H76" i="34" s="1"/>
  <c r="G72" i="34"/>
  <c r="H72" i="34" s="1"/>
  <c r="G73" i="34"/>
  <c r="H73" i="34" s="1"/>
  <c r="G74" i="34"/>
  <c r="H74" i="34" s="1"/>
  <c r="G71" i="34"/>
  <c r="H71" i="34" s="1"/>
  <c r="G67" i="34"/>
  <c r="H67" i="34" s="1"/>
  <c r="G68" i="34"/>
  <c r="H68" i="34" s="1"/>
  <c r="G69" i="34"/>
  <c r="H69" i="34" s="1"/>
  <c r="G66" i="34"/>
  <c r="H66" i="34" s="1"/>
  <c r="D76" i="34"/>
  <c r="E76" i="34" s="1"/>
  <c r="D72" i="34"/>
  <c r="E72" i="34" s="1"/>
  <c r="D73" i="34"/>
  <c r="E73" i="34" s="1"/>
  <c r="D74" i="34"/>
  <c r="E74" i="34" s="1"/>
  <c r="D71" i="34"/>
  <c r="E71" i="34" s="1"/>
  <c r="D67" i="34"/>
  <c r="E67" i="34" s="1"/>
  <c r="D68" i="34"/>
  <c r="E68" i="34" s="1"/>
  <c r="D69" i="34"/>
  <c r="E69" i="34" s="1"/>
  <c r="D66" i="34"/>
  <c r="E66" i="34" s="1"/>
  <c r="I58" i="34"/>
  <c r="I52" i="34"/>
  <c r="I51" i="34"/>
  <c r="I57" i="33"/>
  <c r="I45" i="33"/>
  <c r="I39" i="33"/>
  <c r="I31" i="33"/>
  <c r="I32" i="33"/>
  <c r="I33" i="33"/>
  <c r="I30" i="33"/>
  <c r="F24" i="33"/>
  <c r="F19" i="33"/>
  <c r="F83" i="20"/>
  <c r="F82" i="20"/>
  <c r="F72" i="20"/>
  <c r="F71" i="20"/>
  <c r="H66" i="20"/>
  <c r="H65" i="20"/>
  <c r="H64" i="20"/>
  <c r="H63" i="20"/>
  <c r="H62" i="20"/>
  <c r="H61" i="20"/>
  <c r="H59" i="20"/>
  <c r="H53" i="20"/>
  <c r="H52" i="20"/>
  <c r="F46" i="20"/>
  <c r="H46" i="20" s="1"/>
  <c r="C118" i="35"/>
  <c r="D118" i="35" s="1"/>
  <c r="E118" i="35" s="1"/>
  <c r="C117" i="35"/>
  <c r="D117" i="35" s="1"/>
  <c r="E117" i="35" s="1"/>
  <c r="C110" i="35"/>
  <c r="D110" i="35" s="1"/>
  <c r="E110" i="35" s="1"/>
  <c r="G103" i="35"/>
  <c r="E103" i="35"/>
  <c r="G102" i="35"/>
  <c r="E102" i="35"/>
  <c r="E84" i="35"/>
  <c r="C76" i="35"/>
  <c r="E76" i="35" s="1"/>
  <c r="E65" i="35"/>
  <c r="F65" i="35" s="1"/>
  <c r="G65" i="35" s="1"/>
  <c r="E66" i="35"/>
  <c r="F66" i="35" s="1"/>
  <c r="G66" i="35" s="1"/>
  <c r="E67" i="35"/>
  <c r="F67" i="35" s="1"/>
  <c r="G67" i="35" s="1"/>
  <c r="E68" i="35"/>
  <c r="F68" i="35" s="1"/>
  <c r="G68" i="35" s="1"/>
  <c r="E69" i="35"/>
  <c r="F69" i="35" s="1"/>
  <c r="G69" i="35" s="1"/>
  <c r="E64" i="35"/>
  <c r="F64" i="35" s="1"/>
  <c r="G64" i="35" s="1"/>
  <c r="F54" i="35"/>
  <c r="G54" i="35" s="1"/>
  <c r="F55" i="35"/>
  <c r="G55" i="35" s="1"/>
  <c r="F56" i="35"/>
  <c r="G56" i="35" s="1"/>
  <c r="F57" i="35"/>
  <c r="G57" i="35" s="1"/>
  <c r="F53" i="35"/>
  <c r="G53" i="35" s="1"/>
  <c r="F45" i="35"/>
  <c r="G45" i="35" s="1"/>
  <c r="F46" i="35"/>
  <c r="G46" i="35" s="1"/>
  <c r="F47" i="35"/>
  <c r="G47" i="35" s="1"/>
  <c r="F48" i="35"/>
  <c r="G48" i="35" s="1"/>
  <c r="F44" i="35"/>
  <c r="G44" i="35" s="1"/>
  <c r="D30" i="35"/>
  <c r="E30" i="35" s="1"/>
  <c r="F30" i="35" s="1"/>
  <c r="D31" i="35"/>
  <c r="E31" i="35" s="1"/>
  <c r="F31" i="35" s="1"/>
  <c r="D32" i="35"/>
  <c r="E32" i="35" s="1"/>
  <c r="F32" i="35" s="1"/>
  <c r="D33" i="35"/>
  <c r="E33" i="35" s="1"/>
  <c r="F33" i="35" s="1"/>
  <c r="D34" i="35"/>
  <c r="E34" i="35" s="1"/>
  <c r="F34" i="35" s="1"/>
  <c r="D35" i="35"/>
  <c r="E35" i="35" s="1"/>
  <c r="F35" i="35" s="1"/>
  <c r="D29" i="35"/>
  <c r="E29" i="35" s="1"/>
  <c r="F29" i="35" s="1"/>
  <c r="D12" i="35"/>
  <c r="E12" i="35" s="1"/>
  <c r="F12" i="35" s="1"/>
  <c r="D13" i="35"/>
  <c r="E13" i="35" s="1"/>
  <c r="F13" i="35" s="1"/>
  <c r="D14" i="35"/>
  <c r="E14" i="35" s="1"/>
  <c r="F14" i="35" s="1"/>
  <c r="D15" i="35"/>
  <c r="E15" i="35" s="1"/>
  <c r="F15" i="35" s="1"/>
  <c r="D11" i="35"/>
  <c r="E11" i="35" s="1"/>
  <c r="F11" i="35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45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18" i="1"/>
  <c r="F102" i="1"/>
  <c r="F101" i="1"/>
  <c r="F100" i="1"/>
  <c r="G96" i="1"/>
  <c r="G95" i="1"/>
  <c r="G92" i="1"/>
  <c r="G91" i="1"/>
  <c r="F96" i="1"/>
  <c r="F95" i="1"/>
  <c r="F92" i="1"/>
  <c r="F91" i="1"/>
  <c r="I84" i="1"/>
  <c r="I83" i="1"/>
  <c r="I77" i="1"/>
  <c r="I71" i="1"/>
  <c r="H71" i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4" i="11"/>
  <c r="E23" i="11"/>
  <c r="E22" i="11"/>
  <c r="F29" i="11" l="1"/>
  <c r="H29" i="11"/>
  <c r="H64" i="11" l="1"/>
  <c r="H63" i="11"/>
  <c r="H62" i="11"/>
  <c r="H61" i="11"/>
  <c r="H60" i="11"/>
  <c r="H59" i="11"/>
  <c r="H57" i="11"/>
  <c r="H56" i="11"/>
  <c r="D29" i="13" l="1"/>
  <c r="C29" i="13"/>
  <c r="C23" i="13"/>
  <c r="C22" i="13"/>
  <c r="D21" i="13"/>
  <c r="C21" i="13"/>
  <c r="C64" i="34" l="1"/>
  <c r="F64" i="34" s="1"/>
  <c r="I57" i="34"/>
  <c r="E64" i="34" s="1"/>
  <c r="H64" i="34" s="1"/>
  <c r="I50" i="34"/>
  <c r="D64" i="34" l="1"/>
  <c r="G64" i="34" s="1"/>
  <c r="E21" i="13" l="1"/>
  <c r="F13" i="13"/>
  <c r="E13" i="13"/>
  <c r="F18" i="33"/>
  <c r="F61" i="1"/>
  <c r="D61" i="1"/>
  <c r="B140" i="1"/>
  <c r="F140" i="1" s="1"/>
  <c r="B139" i="1"/>
  <c r="F139" i="1" s="1"/>
  <c r="B138" i="1"/>
  <c r="F138" i="1" s="1"/>
  <c r="B137" i="1"/>
  <c r="F137" i="1" s="1"/>
  <c r="B113" i="1"/>
  <c r="F113" i="1" s="1"/>
  <c r="B112" i="1"/>
  <c r="F112" i="1" s="1"/>
  <c r="B111" i="1"/>
  <c r="F111" i="1" s="1"/>
  <c r="B110" i="1"/>
  <c r="F110" i="1" s="1"/>
  <c r="O45" i="10"/>
  <c r="O46" i="10" s="1"/>
  <c r="G15" i="34" s="1"/>
  <c r="J15" i="34" s="1"/>
  <c r="O54" i="10"/>
  <c r="O55" i="10" s="1"/>
  <c r="G11" i="24" s="1"/>
  <c r="J11" i="24" s="1"/>
  <c r="H11" i="24" s="1"/>
  <c r="O63" i="10"/>
  <c r="O64" i="10" s="1"/>
  <c r="G23" i="34" s="1"/>
  <c r="J23" i="34" s="1"/>
  <c r="C94" i="35"/>
  <c r="D94" i="35" s="1"/>
  <c r="E94" i="35" s="1"/>
  <c r="F89" i="1"/>
  <c r="F93" i="1"/>
  <c r="E99" i="35"/>
  <c r="A74" i="20"/>
  <c r="C93" i="35"/>
  <c r="D93" i="35" s="1"/>
  <c r="C116" i="35"/>
  <c r="D116" i="35" s="1"/>
  <c r="C109" i="35"/>
  <c r="D109" i="35" s="1"/>
  <c r="E83" i="35"/>
  <c r="C75" i="35"/>
  <c r="E63" i="35"/>
  <c r="F63" i="35" s="1"/>
  <c r="F52" i="35"/>
  <c r="G52" i="35" s="1"/>
  <c r="F43" i="35"/>
  <c r="G43" i="35" s="1"/>
  <c r="E28" i="35"/>
  <c r="D28" i="35"/>
  <c r="E10" i="35"/>
  <c r="D10" i="35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2" i="13"/>
  <c r="D62" i="13"/>
  <c r="B64" i="13"/>
  <c r="C64" i="13" s="1"/>
  <c r="B65" i="13"/>
  <c r="B66" i="13"/>
  <c r="B67" i="13"/>
  <c r="B68" i="13"/>
  <c r="B69" i="13"/>
  <c r="B70" i="13"/>
  <c r="B71" i="13"/>
  <c r="B72" i="13"/>
  <c r="B73" i="13"/>
  <c r="B74" i="13"/>
  <c r="C74" i="13" s="1"/>
  <c r="B75" i="13"/>
  <c r="B76" i="13"/>
  <c r="B77" i="13"/>
  <c r="B78" i="13"/>
  <c r="B79" i="13"/>
  <c r="B80" i="13"/>
  <c r="B81" i="13"/>
  <c r="B82" i="13"/>
  <c r="C82" i="13" s="1"/>
  <c r="B83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0" i="11"/>
  <c r="H30" i="11" s="1"/>
  <c r="G31" i="11"/>
  <c r="H31" i="11" s="1"/>
  <c r="G32" i="11"/>
  <c r="H32" i="11" s="1"/>
  <c r="G33" i="11"/>
  <c r="H33" i="11" s="1"/>
  <c r="E30" i="11"/>
  <c r="F30" i="11" s="1"/>
  <c r="E31" i="11"/>
  <c r="F31" i="11" s="1"/>
  <c r="E32" i="11"/>
  <c r="F32" i="11" s="1"/>
  <c r="E33" i="11"/>
  <c r="F33" i="11" s="1"/>
  <c r="O57" i="10"/>
  <c r="O58" i="10" s="1"/>
  <c r="O60" i="10"/>
  <c r="O61" i="10" s="1"/>
  <c r="G13" i="20" s="1"/>
  <c r="H13" i="20" s="1"/>
  <c r="O66" i="10"/>
  <c r="O67" i="10" s="1"/>
  <c r="O69" i="10"/>
  <c r="O70" i="10" s="1"/>
  <c r="G24" i="34" s="1"/>
  <c r="J24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3" i="34" s="1"/>
  <c r="J33" i="34" s="1"/>
  <c r="O93" i="10"/>
  <c r="O94" i="10" s="1"/>
  <c r="G24" i="20" s="1"/>
  <c r="H24" i="20" s="1"/>
  <c r="O96" i="10"/>
  <c r="O97" i="10" s="1"/>
  <c r="G34" i="34" s="1"/>
  <c r="J34" i="34" s="1"/>
  <c r="O99" i="10"/>
  <c r="O100" i="10" s="1"/>
  <c r="G26" i="20" s="1"/>
  <c r="H26" i="20" s="1"/>
  <c r="O102" i="10"/>
  <c r="O103" i="10" s="1"/>
  <c r="G35" i="34" s="1"/>
  <c r="J35" i="34" s="1"/>
  <c r="O105" i="10"/>
  <c r="O106" i="10" s="1"/>
  <c r="G41" i="34" s="1"/>
  <c r="J41" i="34" s="1"/>
  <c r="O108" i="10"/>
  <c r="O109" i="10" s="1"/>
  <c r="O111" i="10"/>
  <c r="O112" i="10" s="1"/>
  <c r="G42" i="34" s="1"/>
  <c r="J42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56" i="33"/>
  <c r="I50" i="33"/>
  <c r="I44" i="33"/>
  <c r="I38" i="33"/>
  <c r="I29" i="33"/>
  <c r="F23" i="33"/>
  <c r="J45" i="10"/>
  <c r="J46" i="10" s="1"/>
  <c r="E15" i="34" s="1"/>
  <c r="L45" i="10"/>
  <c r="L46" i="10" s="1"/>
  <c r="F15" i="34" s="1"/>
  <c r="L63" i="10"/>
  <c r="L64" i="10" s="1"/>
  <c r="F23" i="34" s="1"/>
  <c r="J63" i="10"/>
  <c r="J64" i="10" s="1"/>
  <c r="H63" i="10"/>
  <c r="H64" i="10" s="1"/>
  <c r="F63" i="10"/>
  <c r="F64" i="10" s="1"/>
  <c r="C14" i="20" s="1"/>
  <c r="D63" i="10"/>
  <c r="D64" i="10" s="1"/>
  <c r="B23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G12" i="33"/>
  <c r="J12" i="33" s="1"/>
  <c r="G10" i="33"/>
  <c r="J10" i="33" s="1"/>
  <c r="F45" i="20"/>
  <c r="H58" i="20"/>
  <c r="H51" i="20"/>
  <c r="G46" i="20"/>
  <c r="H45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39" i="20" s="1"/>
  <c r="G148" i="10"/>
  <c r="G149" i="10" s="1"/>
  <c r="F147" i="10"/>
  <c r="F148" i="10" s="1"/>
  <c r="D147" i="10"/>
  <c r="D148" i="10" s="1"/>
  <c r="B39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8" i="20" s="1"/>
  <c r="H38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N131" i="10"/>
  <c r="M131" i="10"/>
  <c r="L129" i="10"/>
  <c r="L130" i="10" s="1"/>
  <c r="K130" i="10"/>
  <c r="K131" i="10" s="1"/>
  <c r="J129" i="10"/>
  <c r="J130" i="10" s="1"/>
  <c r="E44" i="34" s="1"/>
  <c r="I130" i="10"/>
  <c r="I131" i="10" s="1"/>
  <c r="H129" i="10"/>
  <c r="H130" i="10" s="1"/>
  <c r="G130" i="10"/>
  <c r="G131" i="10" s="1"/>
  <c r="F129" i="10"/>
  <c r="F130" i="10" s="1"/>
  <c r="C44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3" i="34" s="1"/>
  <c r="J43" i="34" s="1"/>
  <c r="N125" i="10"/>
  <c r="M125" i="10"/>
  <c r="L123" i="10"/>
  <c r="L124" i="10" s="1"/>
  <c r="F43" i="34" s="1"/>
  <c r="K124" i="10"/>
  <c r="K125" i="10" s="1"/>
  <c r="J123" i="10"/>
  <c r="J124" i="10" s="1"/>
  <c r="I124" i="10"/>
  <c r="I125" i="10" s="1"/>
  <c r="H123" i="10"/>
  <c r="H124" i="10" s="1"/>
  <c r="D43" i="34" s="1"/>
  <c r="G124" i="10"/>
  <c r="G125" i="10" s="1"/>
  <c r="F123" i="10"/>
  <c r="F124" i="10" s="1"/>
  <c r="C43" i="34" s="1"/>
  <c r="D123" i="10"/>
  <c r="D124" i="10" s="1"/>
  <c r="B43" i="34" s="1"/>
  <c r="O120" i="10"/>
  <c r="O121" i="10" s="1"/>
  <c r="O122" i="10" s="1"/>
  <c r="N122" i="10"/>
  <c r="M122" i="10"/>
  <c r="L120" i="10"/>
  <c r="L121" i="10" s="1"/>
  <c r="L122" i="10" s="1"/>
  <c r="K121" i="10"/>
  <c r="K122" i="10" s="1"/>
  <c r="J120" i="10"/>
  <c r="J121" i="10" s="1"/>
  <c r="J122" i="10" s="1"/>
  <c r="I121" i="10"/>
  <c r="I122" i="10" s="1"/>
  <c r="H120" i="10"/>
  <c r="H121" i="10" s="1"/>
  <c r="H122" i="10" s="1"/>
  <c r="G121" i="10"/>
  <c r="G122" i="10" s="1"/>
  <c r="F120" i="10"/>
  <c r="F121" i="10" s="1"/>
  <c r="F122" i="10" s="1"/>
  <c r="D120" i="10"/>
  <c r="D121" i="10" s="1"/>
  <c r="D122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2" i="34" s="1"/>
  <c r="I112" i="10"/>
  <c r="I113" i="10" s="1"/>
  <c r="H111" i="10"/>
  <c r="H112" i="10" s="1"/>
  <c r="D42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1" i="34" s="1"/>
  <c r="G106" i="10"/>
  <c r="G107" i="10" s="1"/>
  <c r="F105" i="10"/>
  <c r="F106" i="10" s="1"/>
  <c r="C41" i="34" s="1"/>
  <c r="D105" i="10"/>
  <c r="D106" i="10" s="1"/>
  <c r="B41" i="34" s="1"/>
  <c r="N104" i="10"/>
  <c r="M104" i="10"/>
  <c r="L102" i="10"/>
  <c r="L103" i="10" s="1"/>
  <c r="F35" i="34" s="1"/>
  <c r="K103" i="10"/>
  <c r="K104" i="10" s="1"/>
  <c r="J102" i="10"/>
  <c r="J103" i="10" s="1"/>
  <c r="E35" i="34" s="1"/>
  <c r="I103" i="10"/>
  <c r="I104" i="10" s="1"/>
  <c r="H102" i="10"/>
  <c r="H103" i="10" s="1"/>
  <c r="G103" i="10"/>
  <c r="G104" i="10" s="1"/>
  <c r="F102" i="10"/>
  <c r="F103" i="10" s="1"/>
  <c r="D102" i="10"/>
  <c r="D103" i="10" s="1"/>
  <c r="B35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4" i="34" s="1"/>
  <c r="I97" i="10"/>
  <c r="I98" i="10" s="1"/>
  <c r="H96" i="10"/>
  <c r="H97" i="10" s="1"/>
  <c r="D34" i="34" s="1"/>
  <c r="G97" i="10"/>
  <c r="G98" i="10" s="1"/>
  <c r="F96" i="10"/>
  <c r="F97" i="10" s="1"/>
  <c r="D96" i="10"/>
  <c r="D97" i="10" s="1"/>
  <c r="B34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3" i="34" s="1"/>
  <c r="K91" i="10"/>
  <c r="K92" i="10" s="1"/>
  <c r="J90" i="10"/>
  <c r="J91" i="10" s="1"/>
  <c r="I91" i="10"/>
  <c r="I92" i="10" s="1"/>
  <c r="H90" i="10"/>
  <c r="H91" i="10" s="1"/>
  <c r="D33" i="34" s="1"/>
  <c r="G91" i="10"/>
  <c r="G92" i="10" s="1"/>
  <c r="F90" i="10"/>
  <c r="F91" i="10" s="1"/>
  <c r="D90" i="10"/>
  <c r="D91" i="10" s="1"/>
  <c r="B33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2" i="34" s="1"/>
  <c r="G85" i="10"/>
  <c r="G86" i="10" s="1"/>
  <c r="F84" i="10"/>
  <c r="F85" i="10" s="1"/>
  <c r="D84" i="10"/>
  <c r="D85" i="10" s="1"/>
  <c r="B32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5" i="34" s="1"/>
  <c r="I76" i="10"/>
  <c r="I77" i="10" s="1"/>
  <c r="H75" i="10"/>
  <c r="H76" i="10" s="1"/>
  <c r="D25" i="34" s="1"/>
  <c r="G76" i="10"/>
  <c r="G77" i="10" s="1"/>
  <c r="F75" i="10"/>
  <c r="F76" i="10" s="1"/>
  <c r="C25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4" i="34" s="1"/>
  <c r="I70" i="10"/>
  <c r="I71" i="10" s="1"/>
  <c r="H69" i="10"/>
  <c r="H70" i="10" s="1"/>
  <c r="D24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2" i="34" s="1"/>
  <c r="K58" i="10"/>
  <c r="K59" i="10" s="1"/>
  <c r="J57" i="10"/>
  <c r="J58" i="10" s="1"/>
  <c r="I58" i="10"/>
  <c r="I59" i="10" s="1"/>
  <c r="H57" i="10"/>
  <c r="H58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1" i="34" s="1"/>
  <c r="K52" i="10"/>
  <c r="K53" i="10" s="1"/>
  <c r="J51" i="10"/>
  <c r="J52" i="10" s="1"/>
  <c r="E21" i="34" s="1"/>
  <c r="I52" i="10"/>
  <c r="I53" i="10" s="1"/>
  <c r="H51" i="10"/>
  <c r="H52" i="10" s="1"/>
  <c r="D21" i="34" s="1"/>
  <c r="G52" i="10"/>
  <c r="G53" i="10" s="1"/>
  <c r="F51" i="10"/>
  <c r="F52" i="10" s="1"/>
  <c r="C21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59" i="1"/>
  <c r="C158" i="1"/>
  <c r="C157" i="1"/>
  <c r="F157" i="1" s="1"/>
  <c r="G157" i="1" s="1"/>
  <c r="H157" i="1" s="1"/>
  <c r="C156" i="1"/>
  <c r="F156" i="1"/>
  <c r="G156" i="1" s="1"/>
  <c r="H156" i="1" s="1"/>
  <c r="C155" i="1"/>
  <c r="F155" i="1" s="1"/>
  <c r="G155" i="1" s="1"/>
  <c r="H155" i="1" s="1"/>
  <c r="C151" i="1"/>
  <c r="C154" i="1" s="1"/>
  <c r="C153" i="1"/>
  <c r="F153" i="1" s="1"/>
  <c r="G153" i="1" s="1"/>
  <c r="H153" i="1" s="1"/>
  <c r="C152" i="1"/>
  <c r="F152" i="1" s="1"/>
  <c r="G152" i="1" s="1"/>
  <c r="H152" i="1" s="1"/>
  <c r="C150" i="1"/>
  <c r="C149" i="1"/>
  <c r="C148" i="1"/>
  <c r="F148" i="1" s="1"/>
  <c r="G148" i="1" s="1"/>
  <c r="H148" i="1" s="1"/>
  <c r="C147" i="1"/>
  <c r="F147" i="1" s="1"/>
  <c r="G147" i="1" s="1"/>
  <c r="H147" i="1" s="1"/>
  <c r="C146" i="1"/>
  <c r="F146" i="1" s="1"/>
  <c r="G146" i="1" s="1"/>
  <c r="H146" i="1" s="1"/>
  <c r="C145" i="1"/>
  <c r="C119" i="1"/>
  <c r="C131" i="1"/>
  <c r="C130" i="1"/>
  <c r="F130" i="1" s="1"/>
  <c r="G130" i="1" s="1"/>
  <c r="H130" i="1" s="1"/>
  <c r="C125" i="1"/>
  <c r="C129" i="1" s="1"/>
  <c r="C124" i="1"/>
  <c r="C128" i="1" s="1"/>
  <c r="C123" i="1"/>
  <c r="F123" i="1" s="1"/>
  <c r="G123" i="1" s="1"/>
  <c r="H123" i="1" s="1"/>
  <c r="C127" i="1"/>
  <c r="C122" i="1"/>
  <c r="C121" i="1"/>
  <c r="C120" i="1"/>
  <c r="F120" i="1" s="1"/>
  <c r="G120" i="1" s="1"/>
  <c r="H120" i="1" s="1"/>
  <c r="C118" i="1"/>
  <c r="I58" i="24"/>
  <c r="I57" i="24"/>
  <c r="F31" i="20"/>
  <c r="E32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0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149" i="1"/>
  <c r="G149" i="1" s="1"/>
  <c r="H149" i="1" s="1"/>
  <c r="F121" i="1"/>
  <c r="G121" i="1" s="1"/>
  <c r="H121" i="1" s="1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F99" i="1"/>
  <c r="A48" i="13"/>
  <c r="E38" i="13"/>
  <c r="E37" i="13"/>
  <c r="F24" i="13"/>
  <c r="E22" i="13"/>
  <c r="F12" i="13"/>
  <c r="E12" i="13"/>
  <c r="F11" i="13"/>
  <c r="E11" i="13"/>
  <c r="F10" i="13"/>
  <c r="A106" i="1"/>
  <c r="D9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2" i="1"/>
  <c r="H70" i="1"/>
  <c r="G70" i="1"/>
  <c r="H76" i="1"/>
  <c r="H19" i="1"/>
  <c r="H9" i="1"/>
  <c r="I70" i="1"/>
  <c r="F44" i="1"/>
  <c r="E21" i="11"/>
  <c r="A133" i="1"/>
  <c r="F143" i="1"/>
  <c r="F116" i="1"/>
  <c r="I76" i="1"/>
  <c r="I82" i="1"/>
  <c r="D44" i="1"/>
  <c r="B44" i="1"/>
  <c r="E19" i="1"/>
  <c r="D9" i="1"/>
  <c r="G9" i="1"/>
  <c r="E9" i="1"/>
  <c r="H9" i="11"/>
  <c r="F9" i="11"/>
  <c r="D9" i="11"/>
  <c r="B9" i="11"/>
  <c r="F131" i="1"/>
  <c r="G131" i="1" s="1"/>
  <c r="H131" i="1" s="1"/>
  <c r="F124" i="1"/>
  <c r="G124" i="1" s="1"/>
  <c r="H124" i="1" s="1"/>
  <c r="F151" i="1"/>
  <c r="G151" i="1" s="1"/>
  <c r="H151" i="1" s="1"/>
  <c r="H65" i="10"/>
  <c r="O47" i="10"/>
  <c r="D17" i="20"/>
  <c r="H74" i="10"/>
  <c r="F125" i="10"/>
  <c r="C36" i="20"/>
  <c r="D19" i="20"/>
  <c r="H80" i="10"/>
  <c r="O80" i="10"/>
  <c r="F149" i="10"/>
  <c r="C39" i="20"/>
  <c r="B23" i="20"/>
  <c r="J131" i="10"/>
  <c r="E37" i="20"/>
  <c r="O131" i="10"/>
  <c r="F39" i="20"/>
  <c r="D125" i="10"/>
  <c r="B36" i="20"/>
  <c r="F38" i="20"/>
  <c r="H68" i="10"/>
  <c r="D47" i="10"/>
  <c r="H92" i="10"/>
  <c r="D23" i="20"/>
  <c r="H56" i="10"/>
  <c r="C126" i="1"/>
  <c r="F126" i="1" s="1"/>
  <c r="G126" i="1" s="1"/>
  <c r="H126" i="1" s="1"/>
  <c r="O59" i="10"/>
  <c r="E22" i="20"/>
  <c r="E19" i="20"/>
  <c r="O116" i="10"/>
  <c r="F145" i="1"/>
  <c r="G145" i="1" s="1"/>
  <c r="H145" i="1" s="1"/>
  <c r="C10" i="24"/>
  <c r="C18" i="24" s="1"/>
  <c r="H59" i="10"/>
  <c r="L92" i="10"/>
  <c r="F23" i="20"/>
  <c r="F116" i="10"/>
  <c r="C31" i="20"/>
  <c r="F12" i="20"/>
  <c r="O65" i="10"/>
  <c r="F127" i="1"/>
  <c r="G127" i="1" s="1"/>
  <c r="H127" i="1" s="1"/>
  <c r="C27" i="20"/>
  <c r="G11" i="32"/>
  <c r="I11" i="32" s="1"/>
  <c r="G14" i="20"/>
  <c r="H14" i="20" s="1"/>
  <c r="C22" i="20"/>
  <c r="F89" i="10"/>
  <c r="G8" i="20"/>
  <c r="H8" i="20" s="1"/>
  <c r="D80" i="13" l="1"/>
  <c r="C80" i="13"/>
  <c r="D76" i="13"/>
  <c r="E76" i="13" s="1"/>
  <c r="F76" i="13" s="1"/>
  <c r="G76" i="13" s="1"/>
  <c r="C76" i="13"/>
  <c r="D72" i="13"/>
  <c r="C72" i="13"/>
  <c r="D68" i="13"/>
  <c r="E68" i="13" s="1"/>
  <c r="F68" i="13" s="1"/>
  <c r="G68" i="13" s="1"/>
  <c r="C68" i="13"/>
  <c r="D83" i="13"/>
  <c r="C83" i="13"/>
  <c r="D79" i="13"/>
  <c r="C79" i="13"/>
  <c r="D75" i="13"/>
  <c r="C75" i="13"/>
  <c r="D71" i="13"/>
  <c r="E71" i="13" s="1"/>
  <c r="F71" i="13" s="1"/>
  <c r="G71" i="13" s="1"/>
  <c r="C71" i="13"/>
  <c r="D67" i="13"/>
  <c r="C67" i="13"/>
  <c r="D70" i="13"/>
  <c r="E70" i="13" s="1"/>
  <c r="F70" i="13" s="1"/>
  <c r="G70" i="13" s="1"/>
  <c r="C70" i="13"/>
  <c r="D66" i="13"/>
  <c r="C66" i="13"/>
  <c r="D78" i="13"/>
  <c r="E78" i="13" s="1"/>
  <c r="F78" i="13" s="1"/>
  <c r="G78" i="13" s="1"/>
  <c r="C78" i="13"/>
  <c r="D81" i="13"/>
  <c r="C81" i="13"/>
  <c r="D77" i="13"/>
  <c r="E77" i="13" s="1"/>
  <c r="F77" i="13" s="1"/>
  <c r="G77" i="13" s="1"/>
  <c r="C77" i="13"/>
  <c r="D73" i="13"/>
  <c r="C73" i="13"/>
  <c r="D69" i="13"/>
  <c r="E69" i="13" s="1"/>
  <c r="F69" i="13" s="1"/>
  <c r="G69" i="13" s="1"/>
  <c r="C69" i="13"/>
  <c r="D65" i="13"/>
  <c r="C65" i="13"/>
  <c r="D65" i="10"/>
  <c r="O101" i="10"/>
  <c r="E80" i="13"/>
  <c r="F80" i="13" s="1"/>
  <c r="G80" i="13" s="1"/>
  <c r="B22" i="20"/>
  <c r="E83" i="13"/>
  <c r="F83" i="13" s="1"/>
  <c r="G83" i="13" s="1"/>
  <c r="E79" i="13"/>
  <c r="F79" i="13" s="1"/>
  <c r="G79" i="13" s="1"/>
  <c r="E75" i="13"/>
  <c r="F75" i="13" s="1"/>
  <c r="G75" i="13" s="1"/>
  <c r="E67" i="13"/>
  <c r="F67" i="13" s="1"/>
  <c r="G67" i="13" s="1"/>
  <c r="E72" i="13"/>
  <c r="F72" i="13" s="1"/>
  <c r="G72" i="13" s="1"/>
  <c r="O113" i="10"/>
  <c r="E66" i="13"/>
  <c r="F66" i="13" s="1"/>
  <c r="G66" i="13" s="1"/>
  <c r="H12" i="33"/>
  <c r="I12" i="33"/>
  <c r="G10" i="32"/>
  <c r="I10" i="32" s="1"/>
  <c r="O62" i="10"/>
  <c r="O56" i="10"/>
  <c r="G11" i="20"/>
  <c r="H11" i="20" s="1"/>
  <c r="G30" i="20"/>
  <c r="H30" i="20" s="1"/>
  <c r="H10" i="33"/>
  <c r="I10" i="33"/>
  <c r="E81" i="13"/>
  <c r="F81" i="13" s="1"/>
  <c r="G81" i="13" s="1"/>
  <c r="E73" i="13"/>
  <c r="F73" i="13" s="1"/>
  <c r="G73" i="13" s="1"/>
  <c r="E65" i="13"/>
  <c r="F65" i="13" s="1"/>
  <c r="G65" i="13" s="1"/>
  <c r="J95" i="10"/>
  <c r="E24" i="20"/>
  <c r="B10" i="24"/>
  <c r="B18" i="24" s="1"/>
  <c r="F119" i="1"/>
  <c r="G119" i="1" s="1"/>
  <c r="H119" i="1" s="1"/>
  <c r="F62" i="10"/>
  <c r="F150" i="1"/>
  <c r="G150" i="1" s="1"/>
  <c r="H150" i="1" s="1"/>
  <c r="C13" i="33"/>
  <c r="F122" i="1"/>
  <c r="G122" i="1" s="1"/>
  <c r="H122" i="1" s="1"/>
  <c r="G25" i="20"/>
  <c r="H25" i="20" s="1"/>
  <c r="J86" i="10"/>
  <c r="E32" i="34"/>
  <c r="D9" i="20"/>
  <c r="H50" i="10"/>
  <c r="F50" i="10"/>
  <c r="C9" i="20"/>
  <c r="F32" i="10"/>
  <c r="C10" i="34"/>
  <c r="D44" i="10"/>
  <c r="B14" i="34"/>
  <c r="F16" i="20"/>
  <c r="F24" i="34"/>
  <c r="F98" i="10"/>
  <c r="C34" i="34"/>
  <c r="H131" i="10"/>
  <c r="D44" i="34"/>
  <c r="D11" i="32"/>
  <c r="D23" i="34"/>
  <c r="D41" i="10"/>
  <c r="B13" i="34"/>
  <c r="L35" i="10"/>
  <c r="F11" i="34"/>
  <c r="J92" i="10"/>
  <c r="E33" i="34"/>
  <c r="F113" i="10"/>
  <c r="C42" i="34"/>
  <c r="G21" i="20"/>
  <c r="H21" i="20" s="1"/>
  <c r="G32" i="34"/>
  <c r="J32" i="34" s="1"/>
  <c r="O41" i="10"/>
  <c r="G13" i="34"/>
  <c r="J13" i="34" s="1"/>
  <c r="O35" i="10"/>
  <c r="G11" i="34"/>
  <c r="J11" i="34" s="1"/>
  <c r="L38" i="10"/>
  <c r="F12" i="34"/>
  <c r="L44" i="10"/>
  <c r="F14" i="34"/>
  <c r="D113" i="10"/>
  <c r="B42" i="34"/>
  <c r="J125" i="10"/>
  <c r="E43" i="34"/>
  <c r="F37" i="20"/>
  <c r="F44" i="34"/>
  <c r="F47" i="10"/>
  <c r="C15" i="34"/>
  <c r="G18" i="20"/>
  <c r="H18" i="20" s="1"/>
  <c r="G25" i="34"/>
  <c r="J25" i="34" s="1"/>
  <c r="H41" i="10"/>
  <c r="D13" i="34"/>
  <c r="H15" i="34"/>
  <c r="I15" i="34"/>
  <c r="D12" i="33"/>
  <c r="D92" i="10"/>
  <c r="E38" i="20"/>
  <c r="O32" i="10"/>
  <c r="G10" i="34"/>
  <c r="J10" i="34" s="1"/>
  <c r="D38" i="10"/>
  <c r="B12" i="34"/>
  <c r="B18" i="20"/>
  <c r="B25" i="34"/>
  <c r="H83" i="10"/>
  <c r="D26" i="34"/>
  <c r="H104" i="10"/>
  <c r="D35" i="34"/>
  <c r="J107" i="10"/>
  <c r="E41" i="34"/>
  <c r="H43" i="34"/>
  <c r="I43" i="34"/>
  <c r="B37" i="20"/>
  <c r="B44" i="34"/>
  <c r="J134" i="10"/>
  <c r="E45" i="34"/>
  <c r="E11" i="32"/>
  <c r="E23" i="34"/>
  <c r="I41" i="34"/>
  <c r="H41" i="34"/>
  <c r="O98" i="10"/>
  <c r="E11" i="24"/>
  <c r="J65" i="10"/>
  <c r="B27" i="20"/>
  <c r="D62" i="10"/>
  <c r="C38" i="20"/>
  <c r="D36" i="20"/>
  <c r="H32" i="10"/>
  <c r="D10" i="34"/>
  <c r="L32" i="10"/>
  <c r="F10" i="34"/>
  <c r="D35" i="10"/>
  <c r="B11" i="34"/>
  <c r="F38" i="10"/>
  <c r="C12" i="34"/>
  <c r="J38" i="10"/>
  <c r="E12" i="34"/>
  <c r="J44" i="10"/>
  <c r="E14" i="34"/>
  <c r="F71" i="10"/>
  <c r="C24" i="34"/>
  <c r="D83" i="10"/>
  <c r="B26" i="34"/>
  <c r="F86" i="10"/>
  <c r="C32" i="34"/>
  <c r="F104" i="10"/>
  <c r="C35" i="34"/>
  <c r="O134" i="10"/>
  <c r="G45" i="34"/>
  <c r="J45" i="34" s="1"/>
  <c r="B12" i="20"/>
  <c r="B22" i="34"/>
  <c r="I35" i="34"/>
  <c r="H35" i="34"/>
  <c r="G20" i="20"/>
  <c r="H20" i="20" s="1"/>
  <c r="G26" i="34"/>
  <c r="J26" i="34" s="1"/>
  <c r="H24" i="34"/>
  <c r="I24" i="34"/>
  <c r="J41" i="10"/>
  <c r="E13" i="34"/>
  <c r="F41" i="10"/>
  <c r="C13" i="34"/>
  <c r="I23" i="34"/>
  <c r="H23" i="34"/>
  <c r="J32" i="10"/>
  <c r="E10" i="34"/>
  <c r="H38" i="10"/>
  <c r="D12" i="34"/>
  <c r="H44" i="10"/>
  <c r="D14" i="34"/>
  <c r="C12" i="20"/>
  <c r="C22" i="34"/>
  <c r="F18" i="20"/>
  <c r="F25" i="34"/>
  <c r="D134" i="10"/>
  <c r="B45" i="34"/>
  <c r="L41" i="10"/>
  <c r="F13" i="34"/>
  <c r="F80" i="10"/>
  <c r="H35" i="10"/>
  <c r="D11" i="34"/>
  <c r="F44" i="10"/>
  <c r="C14" i="34"/>
  <c r="E12" i="20"/>
  <c r="E22" i="34"/>
  <c r="B16" i="20"/>
  <c r="B24" i="34"/>
  <c r="L83" i="10"/>
  <c r="F26" i="34"/>
  <c r="L86" i="10"/>
  <c r="F32" i="34"/>
  <c r="F92" i="10"/>
  <c r="C33" i="34"/>
  <c r="F134" i="10"/>
  <c r="C45" i="34"/>
  <c r="C10" i="33"/>
  <c r="C11" i="33" s="1"/>
  <c r="D8" i="20"/>
  <c r="D15" i="34"/>
  <c r="I34" i="34"/>
  <c r="H34" i="34"/>
  <c r="G12" i="20"/>
  <c r="H12" i="20" s="1"/>
  <c r="G22" i="34"/>
  <c r="J22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0" i="34"/>
  <c r="F35" i="10"/>
  <c r="C11" i="34"/>
  <c r="J35" i="10"/>
  <c r="E11" i="34"/>
  <c r="O38" i="10"/>
  <c r="G12" i="34"/>
  <c r="J12" i="34" s="1"/>
  <c r="O44" i="10"/>
  <c r="G14" i="34"/>
  <c r="J14" i="34" s="1"/>
  <c r="D12" i="20"/>
  <c r="D22" i="34"/>
  <c r="F83" i="10"/>
  <c r="C26" i="34"/>
  <c r="J83" i="10"/>
  <c r="E26" i="34"/>
  <c r="O89" i="10"/>
  <c r="L98" i="10"/>
  <c r="F34" i="34"/>
  <c r="L107" i="10"/>
  <c r="F41" i="34"/>
  <c r="L113" i="10"/>
  <c r="F42" i="34"/>
  <c r="G37" i="20"/>
  <c r="H37" i="20" s="1"/>
  <c r="G44" i="34"/>
  <c r="J44" i="34" s="1"/>
  <c r="H134" i="10"/>
  <c r="D45" i="34"/>
  <c r="L134" i="10"/>
  <c r="F45" i="34"/>
  <c r="B8" i="20"/>
  <c r="B15" i="34"/>
  <c r="F65" i="10"/>
  <c r="C23" i="34"/>
  <c r="B10" i="20"/>
  <c r="B21" i="34"/>
  <c r="G10" i="20"/>
  <c r="H10" i="20" s="1"/>
  <c r="G21" i="34"/>
  <c r="J21" i="34" s="1"/>
  <c r="H42" i="34"/>
  <c r="I42" i="34"/>
  <c r="I33" i="34"/>
  <c r="H33" i="34"/>
  <c r="F128" i="1"/>
  <c r="G128" i="1" s="1"/>
  <c r="H128" i="1" s="1"/>
  <c r="B19" i="20"/>
  <c r="D80" i="10"/>
  <c r="F11" i="32"/>
  <c r="L65" i="10"/>
  <c r="F12" i="24"/>
  <c r="F14" i="20"/>
  <c r="E29" i="20"/>
  <c r="J110" i="10"/>
  <c r="D86" i="10"/>
  <c r="B21" i="20"/>
  <c r="D82" i="13"/>
  <c r="D74" i="13"/>
  <c r="D64" i="13"/>
  <c r="F74" i="10"/>
  <c r="D38" i="20"/>
  <c r="F125" i="1"/>
  <c r="G125" i="1" s="1"/>
  <c r="H125" i="1" s="1"/>
  <c r="E26" i="20"/>
  <c r="B10" i="33"/>
  <c r="B11" i="33" s="1"/>
  <c r="L62" i="10"/>
  <c r="D31" i="20"/>
  <c r="D95" i="10"/>
  <c r="D131" i="10"/>
  <c r="O137" i="10"/>
  <c r="F118" i="1"/>
  <c r="G118" i="1" s="1"/>
  <c r="H118" i="1" s="1"/>
  <c r="D26" i="20"/>
  <c r="E28" i="20"/>
  <c r="F26" i="20"/>
  <c r="D53" i="10"/>
  <c r="D59" i="10"/>
  <c r="O95" i="10"/>
  <c r="C9" i="32"/>
  <c r="C17" i="32" s="1"/>
  <c r="C11" i="32"/>
  <c r="L131" i="10"/>
  <c r="E21" i="20"/>
  <c r="D13" i="33"/>
  <c r="D71" i="10"/>
  <c r="L71" i="10"/>
  <c r="D119" i="10"/>
  <c r="D149" i="10"/>
  <c r="F159" i="1"/>
  <c r="G159" i="1" s="1"/>
  <c r="H159" i="1" s="1"/>
  <c r="E20" i="20"/>
  <c r="F28" i="20"/>
  <c r="D10" i="24"/>
  <c r="D18" i="24" s="1"/>
  <c r="E34" i="11"/>
  <c r="F34" i="11" s="1"/>
  <c r="B11" i="20"/>
  <c r="B12" i="33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3" i="33"/>
  <c r="C37" i="20"/>
  <c r="F131" i="10"/>
  <c r="F10" i="32"/>
  <c r="F12" i="33"/>
  <c r="F11" i="20"/>
  <c r="F11" i="24"/>
  <c r="L56" i="10"/>
  <c r="L50" i="10"/>
  <c r="F9" i="20"/>
  <c r="B13" i="33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39" i="20"/>
  <c r="H39" i="20" s="1"/>
  <c r="O149" i="10"/>
  <c r="E9" i="20"/>
  <c r="J50" i="10"/>
  <c r="J116" i="10"/>
  <c r="E31" i="20"/>
  <c r="L125" i="10"/>
  <c r="F36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6" i="20"/>
  <c r="F68" i="10"/>
  <c r="C16" i="20"/>
  <c r="J59" i="10"/>
  <c r="D37" i="20"/>
  <c r="H149" i="10"/>
  <c r="C12" i="33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F129" i="1"/>
  <c r="G129" i="1" s="1"/>
  <c r="H129" i="1" s="1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F154" i="1"/>
  <c r="G154" i="1" s="1"/>
  <c r="H154" i="1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6" i="20"/>
  <c r="H36" i="20" s="1"/>
  <c r="O125" i="10"/>
  <c r="D10" i="33"/>
  <c r="D11" i="33" s="1"/>
  <c r="D10" i="32"/>
  <c r="L80" i="10"/>
  <c r="H47" i="10"/>
  <c r="D11" i="20"/>
  <c r="F59" i="10"/>
  <c r="B31" i="20"/>
  <c r="L77" i="10"/>
  <c r="L74" i="10"/>
  <c r="I10" i="24"/>
  <c r="G12" i="24"/>
  <c r="J12" i="24" s="1"/>
  <c r="C116" i="1"/>
  <c r="F158" i="1"/>
  <c r="G158" i="1" s="1"/>
  <c r="H158" i="1" s="1"/>
  <c r="C29" i="20"/>
  <c r="B11" i="32"/>
  <c r="B14" i="20"/>
  <c r="B15" i="20"/>
  <c r="H89" i="10"/>
  <c r="E39" i="20"/>
  <c r="D12" i="24"/>
  <c r="C12" i="24"/>
  <c r="C25" i="20"/>
  <c r="F25" i="20"/>
  <c r="G32" i="20"/>
  <c r="H32" i="20" s="1"/>
  <c r="O119" i="10"/>
  <c r="G28" i="20"/>
  <c r="H28" i="20" s="1"/>
  <c r="O107" i="10"/>
  <c r="E15" i="20"/>
  <c r="B38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G13" i="33"/>
  <c r="J13" i="33" s="1"/>
  <c r="G15" i="20"/>
  <c r="H15" i="20" s="1"/>
  <c r="G34" i="11"/>
  <c r="H34" i="11" s="1"/>
  <c r="I13" i="33" l="1"/>
  <c r="H13" i="33"/>
  <c r="E64" i="13"/>
  <c r="F64" i="13" s="1"/>
  <c r="G64" i="13" s="1"/>
  <c r="E74" i="13"/>
  <c r="F74" i="13" s="1"/>
  <c r="G74" i="13" s="1"/>
  <c r="E82" i="13"/>
  <c r="F82" i="13" s="1"/>
  <c r="G82" i="13" s="1"/>
  <c r="I12" i="34"/>
  <c r="H12" i="34"/>
  <c r="H11" i="34"/>
  <c r="I11" i="34"/>
  <c r="H32" i="34"/>
  <c r="I32" i="34"/>
  <c r="H26" i="34"/>
  <c r="I26" i="34"/>
  <c r="I10" i="34"/>
  <c r="H10" i="34"/>
  <c r="H14" i="34"/>
  <c r="I14" i="34"/>
  <c r="I25" i="34"/>
  <c r="H25" i="34"/>
  <c r="I13" i="34"/>
  <c r="H13" i="34"/>
  <c r="I21" i="34"/>
  <c r="H21" i="34"/>
  <c r="I44" i="34"/>
  <c r="H44" i="34"/>
  <c r="I22" i="34"/>
  <c r="H22" i="34"/>
  <c r="H45" i="34"/>
  <c r="I45" i="34"/>
  <c r="H12" i="24"/>
  <c r="I12" i="24"/>
  <c r="D30" i="16"/>
  <c r="C30" i="16"/>
  <c r="D27" i="16"/>
  <c r="C27" i="16"/>
  <c r="D29" i="16"/>
  <c r="C29" i="16"/>
  <c r="D28" i="16"/>
  <c r="C28" i="16"/>
</calcChain>
</file>

<file path=xl/sharedStrings.xml><?xml version="1.0" encoding="utf-8"?>
<sst xmlns="http://schemas.openxmlformats.org/spreadsheetml/2006/main" count="1225" uniqueCount="531">
  <si>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</si>
  <si>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</si>
  <si>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</si>
  <si>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</si>
  <si>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</si>
  <si>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</si>
  <si>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</si>
  <si>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</si>
  <si>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</si>
  <si>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</si>
  <si>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</si>
  <si>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</si>
  <si>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</si>
  <si>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</si>
  <si>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</si>
  <si>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</si>
  <si>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</si>
  <si>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</si>
  <si>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</si>
  <si>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</si>
  <si>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</si>
  <si>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</si>
  <si>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</si>
  <si>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</si>
  <si>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</si>
  <si>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</si>
  <si>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</si>
  <si>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</si>
  <si>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</si>
  <si>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</si>
  <si>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</si>
  <si>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</si>
  <si>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</si>
  <si>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</si>
  <si>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</si>
  <si>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</si>
  <si>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</si>
  <si>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</si>
  <si>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</si>
  <si>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</si>
  <si>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</si>
  <si>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</si>
  <si>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</si>
  <si>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</si>
  <si>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</si>
  <si>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</si>
  <si>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</si>
  <si>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</si>
  <si>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</si>
  <si>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</si>
  <si>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</si>
  <si>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</si>
  <si>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</si>
  <si>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</si>
  <si>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</si>
  <si>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</si>
  <si>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</si>
  <si>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</si>
  <si>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</si>
  <si>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</si>
  <si>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</si>
  <si>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</si>
  <si>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</si>
  <si>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</si>
  <si>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</si>
  <si>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</si>
  <si>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</si>
  <si>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</si>
  <si>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</si>
  <si>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</si>
  <si>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</si>
  <si>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</si>
  <si>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</si>
  <si>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</si>
  <si>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</si>
  <si>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</si>
  <si>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</si>
  <si>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</si>
  <si>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</si>
  <si>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</si>
  <si>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</si>
  <si>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</si>
  <si>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</si>
  <si>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</si>
  <si>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</si>
  <si>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</si>
  <si>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</si>
  <si>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</si>
  <si>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</si>
  <si>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</si>
  <si>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</si>
  <si>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</si>
  <si>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</si>
  <si>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</si>
  <si>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</si>
  <si>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</si>
  <si>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</si>
  <si>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</si>
  <si>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</si>
  <si>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</si>
  <si>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</si>
  <si>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</si>
  <si>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</si>
  <si>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</si>
  <si>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</si>
  <si>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</si>
  <si>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</si>
  <si>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</si>
  <si>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</si>
  <si>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</si>
  <si>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</si>
  <si>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</si>
  <si>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</si>
  <si>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</si>
  <si>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</si>
  <si>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</si>
  <si>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</si>
  <si>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</si>
  <si>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</si>
  <si>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</si>
  <si>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</si>
  <si>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</si>
  <si>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</si>
  <si>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</si>
  <si>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</si>
  <si>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</si>
  <si>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</si>
  <si>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</si>
  <si>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</si>
  <si>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</si>
  <si>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</si>
  <si>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</si>
  <si>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</si>
  <si>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</si>
  <si>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</si>
  <si>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</si>
  <si>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</si>
  <si>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</si>
  <si>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</si>
  <si>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</si>
  <si>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</si>
  <si>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</si>
  <si>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</si>
  <si>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</si>
  <si>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</si>
  <si>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</si>
  <si>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</si>
  <si>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</si>
  <si>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</si>
  <si>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</si>
  <si>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</si>
  <si>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</si>
  <si>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</si>
  <si>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</si>
  <si>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</si>
  <si>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</si>
  <si>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</si>
  <si>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</si>
  <si>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</si>
  <si>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</si>
  <si>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</si>
  <si>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</si>
  <si>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</si>
  <si>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</si>
  <si>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</si>
  <si>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</si>
  <si>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</si>
  <si>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</si>
  <si>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</si>
  <si>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</si>
  <si>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</si>
  <si>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</si>
  <si>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</si>
  <si>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</si>
  <si>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</si>
  <si>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</si>
  <si>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</si>
  <si>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</si>
  <si>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</si>
  <si>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</si>
  <si>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</si>
  <si>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</si>
  <si>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</si>
  <si>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</si>
  <si>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</si>
  <si>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</si>
  <si>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</si>
  <si>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</si>
  <si>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</si>
  <si>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</si>
  <si>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</si>
  <si>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</si>
  <si>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</si>
  <si>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</si>
  <si>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</si>
  <si>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</si>
  <si>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</si>
  <si>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</si>
  <si>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</si>
  <si>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</si>
  <si>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</si>
  <si>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</si>
  <si>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</si>
  <si>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</si>
  <si>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</si>
  <si>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</si>
  <si>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</si>
  <si>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</si>
  <si>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</si>
  <si>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</si>
  <si>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</si>
  <si>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</si>
  <si>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</si>
  <si>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</si>
  <si>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</si>
  <si>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</si>
  <si>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</si>
  <si>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</si>
  <si>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</si>
  <si>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</si>
  <si>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</si>
  <si>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</si>
  <si>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</si>
  <si>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</si>
  <si>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</si>
  <si>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</si>
  <si>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</si>
  <si>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</si>
  <si>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</si>
  <si>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</si>
  <si>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</si>
  <si>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</si>
  <si>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</si>
  <si>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</si>
  <si>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</si>
  <si>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</si>
  <si>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</si>
  <si>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</si>
  <si>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</si>
  <si>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</si>
  <si>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</si>
  <si>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</si>
  <si>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</si>
  <si>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</si>
  <si>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</si>
  <si>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</si>
  <si>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</si>
  <si>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</si>
  <si>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</si>
  <si>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</si>
  <si>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</si>
  <si>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</si>
  <si>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</si>
  <si>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</si>
  <si>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</si>
  <si>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</si>
  <si>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</si>
  <si>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</si>
  <si>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</si>
  <si>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</si>
  <si>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</si>
  <si>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</si>
  <si>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</si>
  <si>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</si>
  <si>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</si>
  <si>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</si>
  <si>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</si>
  <si>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</si>
  <si>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</si>
  <si>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</si>
  <si>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</si>
  <si>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</si>
  <si>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</si>
  <si>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</si>
  <si>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</si>
  <si>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</si>
  <si>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</si>
  <si>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</si>
  <si>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</si>
  <si>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</si>
  <si>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</si>
  <si>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</si>
  <si>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</si>
  <si>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</si>
  <si>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</si>
  <si>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</si>
  <si>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</si>
  <si>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</si>
  <si>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</si>
  <si>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</si>
  <si>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</si>
  <si>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</si>
  <si>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</si>
  <si>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</si>
  <si>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</si>
  <si>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</si>
  <si>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</si>
  <si>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</si>
  <si>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</si>
  <si>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</si>
  <si>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</si>
  <si>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</si>
  <si>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</si>
  <si>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</si>
  <si>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</si>
  <si>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</si>
  <si>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</si>
  <si>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</si>
  <si>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</si>
  <si>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</si>
  <si>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</si>
  <si>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</si>
  <si>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</si>
  <si>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</si>
  <si>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</si>
  <si>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</si>
  <si>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</si>
  <si>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</si>
  <si>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</si>
  <si>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</si>
  <si>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</si>
  <si>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</si>
  <si>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 af beskæftigelsesgraden. Den pensionsberettigede løn er pensionsberettiget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</si>
  <si>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</si>
  <si>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</si>
  <si>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</si>
  <si>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</si>
  <si>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</si>
  <si>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</si>
  <si>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</si>
  <si>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</si>
  <si>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</si>
  <si>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</si>
  <si>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</si>
  <si>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</si>
  <si>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</si>
  <si>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</si>
  <si>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Strategi/langtidsplanlæg.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</si>
  <si>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</si>
  <si>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</si>
  <si>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</si>
  <si>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</si>
  <si>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</si>
  <si>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</si>
  <si>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</si>
  <si>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</si>
  <si>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</si>
  <si>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</si>
  <si>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</si>
  <si>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Ansatte under 3F</t>
  </si>
  <si>
    <t>Samt andre gældende satser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</si>
  <si>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</si>
  <si>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</si>
  <si>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</si>
  <si>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</si>
  <si>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</si>
  <si>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</si>
  <si>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</si>
  <si>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</si>
  <si>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</si>
  <si>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</si>
  <si>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</si>
  <si>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</si>
  <si>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</si>
  <si>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</si>
  <si>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</si>
  <si>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</si>
  <si>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</si>
  <si>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</si>
  <si>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</si>
  <si>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</si>
  <si>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</si>
  <si>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</si>
  <si>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</si>
  <si>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</si>
  <si>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</si>
  <si>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</si>
  <si>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</si>
  <si>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</si>
  <si>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</si>
  <si>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</si>
  <si>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</si>
  <si>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</si>
  <si>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</si>
  <si>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</si>
  <si>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</si>
  <si>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</si>
  <si>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</si>
  <si>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</si>
  <si>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</si>
  <si>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</si>
  <si>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</si>
  <si>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</si>
  <si>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</si>
  <si>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</si>
  <si>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</si>
  <si>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</si>
  <si>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</si>
  <si>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</si>
  <si>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</si>
  <si>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</si>
  <si>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</si>
  <si>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</si>
  <si>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</si>
  <si>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</si>
  <si>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</si>
  <si>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</si>
  <si>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</si>
  <si>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</si>
  <si>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</si>
  <si>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</si>
  <si>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</si>
  <si>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</si>
  <si>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</si>
  <si>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</si>
  <si>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</si>
  <si>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</si>
  <si>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</si>
  <si>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</si>
  <si>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</si>
  <si>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</si>
  <si>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</si>
  <si>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</si>
  <si>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</si>
  <si>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</si>
  <si>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</si>
  <si>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</si>
  <si>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</si>
  <si>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</si>
  <si>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</si>
  <si>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</si>
  <si>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</si>
  <si>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</si>
  <si>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</si>
  <si>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</si>
  <si>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>Rektorer, ledere og lærere ved gymnasieskoler</t>
  </si>
  <si>
    <t xml:space="preserve">Pensionsbidrag </t>
  </si>
  <si>
    <t>er reguleret med gældende reguleringsprocent</t>
  </si>
  <si>
    <t>Månedsløn til afd. ledere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</si>
  <si>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</si>
  <si>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</si>
  <si>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</si>
  <si>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</si>
  <si>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</si>
  <si>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</si>
  <si>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</si>
  <si>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</si>
  <si>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</si>
  <si>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</si>
  <si>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Godtgørelse for tjeneste på lørdage efter kl. 14:00, samt lørdage før kl. 14:00 såfremt  halvdelen af arb.tiden ligger efter kl. 14:00 plus Grundlovsdag efter kl. 12.00</t>
  </si>
  <si>
    <t>(i alt 8% fordelt over en  3-årig periode)</t>
  </si>
  <si>
    <t>OK18-tillæg</t>
  </si>
  <si>
    <t xml:space="preserve">OK-2013 tillæg </t>
  </si>
  <si>
    <t xml:space="preserve">OK-2018 tillæg </t>
  </si>
  <si>
    <r>
      <t xml:space="preserve">Timelønnede </t>
    </r>
    <r>
      <rPr>
        <b/>
        <sz val="10"/>
        <color theme="1"/>
        <rFont val="Arial"/>
        <family val="2"/>
      </rPr>
      <t>- reguleret med gældende reguleringsprocent</t>
    </r>
  </si>
  <si>
    <t>Dansk Friskoleforening, Danmarks Private Skoler samt Deutche Schul- und spracherein,</t>
  </si>
  <si>
    <t xml:space="preserve">Arbejdstøj, teknisk service </t>
  </si>
  <si>
    <t>Kr. pr. år</t>
  </si>
  <si>
    <t>Ved fuldtidsansættelse</t>
  </si>
  <si>
    <t>Afhængigt af beskæftigelsesgraden samt pensionsgivende for ansatte med Lærernes Pension</t>
  </si>
  <si>
    <t>Pensionsgivende for ansatte med Lærernes Pension</t>
  </si>
  <si>
    <t>Arbejdstidsbestemte tillæg i tilfælde af delt tjeneste.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</si>
  <si>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</si>
  <si>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</si>
  <si>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</si>
  <si>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</si>
  <si>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</si>
  <si>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</si>
  <si>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</si>
  <si>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</si>
  <si>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</si>
  <si>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Denne løntabel gælder alene for ansatte, hvor skolen har tilsluttet sig overenskomst mellem Danmarks Private Skoler - grundskoler og gymnasier eller Dansk Friskoleforening og HK/Privat 2018-2021.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</si>
  <si>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</si>
  <si>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</si>
  <si>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</si>
  <si>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</si>
  <si>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</si>
  <si>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</si>
  <si>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</si>
  <si>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</si>
  <si>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</si>
  <si>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</si>
  <si>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</si>
  <si>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Stedtillægsområde 4, 5 og 6</t>
  </si>
  <si>
    <t>Stedtillægsområde 2 og 3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</si>
  <si>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</si>
  <si>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</si>
  <si>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</si>
  <si>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</si>
  <si>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</si>
  <si>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</si>
  <si>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</si>
  <si>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</si>
  <si>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29, 31, 33, 35, 38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</si>
  <si>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</si>
  <si>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</si>
  <si>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</si>
  <si>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</si>
  <si>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Overenskomsttillæg pr. 1. oktober 2019 til afdelingsledere</t>
  </si>
  <si>
    <t>Nyt overenskomsttillæg til afdelingsledere gældende fra 1. oktober 2019.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</si>
  <si>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  <r>
      <rPr>
        <b/>
        <sz val="11"/>
        <rFont val="Arial"/>
        <family val="2"/>
      </rPr>
      <t>.</t>
    </r>
  </si>
  <si>
    <t>Timelønnet personale</t>
  </si>
  <si>
    <t>Ikke-pædagoguddannede</t>
  </si>
  <si>
    <t>Ikke-pædagoguddannede med PGU eller PAU</t>
  </si>
  <si>
    <t>Ikke-pædagoguddannede - herunder PGU/PAU</t>
  </si>
  <si>
    <t>Anderledes pæd. uddannede(Lukket gruppe)</t>
  </si>
  <si>
    <t>OBS: Rektorer ansat fra 1. januar 2019 vil blive indplaceret individuelt efter vurdering fra undervisningsministeriet.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</si>
  <si>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</si>
  <si>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</si>
  <si>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</si>
  <si>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 xml:space="preserve">Ændringer i denne løntabel er: </t>
  </si>
  <si>
    <t>ATPbidrag fra 1. januar 2020(A-bidrag)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</si>
  <si>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</si>
  <si>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</si>
  <si>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</si>
  <si>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</si>
  <si>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01/1042020</t>
  </si>
  <si>
    <t>01/04/2020</t>
  </si>
  <si>
    <t>Gældende fra 1. april 2020</t>
  </si>
  <si>
    <t>Denne løntabel er gældende indtil 31. december 2020</t>
  </si>
  <si>
    <t>Reguleringsprocenten er ændret til 10,3236</t>
  </si>
  <si>
    <t>ATP satsen på gymnasieskoler ændres fra F-satsen til A-satsen. ATP-satserne kan aflæses i fanen "generelle satser".</t>
  </si>
  <si>
    <t>Skalatrinslønnen nærmest herunder på skalatrin 40: kr. 31.904,42 pr. måned.</t>
  </si>
  <si>
    <t>Pensionstilsvaret bliver 15% af den pensionsgivende løn på skalatrin 40 = 15% af kr. 31.904,42 pr. måned = kr. 4.785,66</t>
  </si>
  <si>
    <t xml:space="preserve">Aftalt løn kr. 32.000,- pr. Måned </t>
  </si>
  <si>
    <t>Aftalt løn kr. 33.500,- pr. måned</t>
  </si>
  <si>
    <t>Skalatrinslønnen nærmest herunder på skalatrin 42: kr. 33.249,58 pr. måned.</t>
  </si>
  <si>
    <t>Pensionstilsvaret bliver 15% af den pensionsgivende løn på skalatrin 42 = 15% af kr. 33.249,58 pr. måned = kr. 4.987,44</t>
  </si>
  <si>
    <t>gældende for perioden 01.04.2020 til og med 31.01.2021</t>
  </si>
  <si>
    <t>Udgivet d. 13. marts 2020</t>
  </si>
  <si>
    <t>*) indtil 20.000 km pr. år derefter 1,96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</si>
</sst>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  <numFmt numFmtId="170" formatCode="_(&quot;kr&quot;\ * #,##0_);_(&quot;kr&quot;\ * \(#,##0\);_(&quot;kr&quot;\ * &quot;-&quot;??_);_(@_)"/>
  </numFmts>
  <fonts count="9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0"/>
      <color theme="0" tint="-0.14999847407452621"/>
      <name val="Arial"/>
      <family val="2"/>
    </font>
    <font>
      <i/>
      <sz val="11"/>
      <color theme="1"/>
      <name val="Ariel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3" fillId="0" borderId="0" applyFont="0" applyFill="0" applyBorder="0" applyAlignment="0" applyProtection="0"/>
    <xf numFmtId="168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6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6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6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164" fontId="12" fillId="0" borderId="0" xfId="80" applyFont="1" applyBorder="1" applyAlignment="1">
      <alignment horizontal="right" vertical="center" wrapText="1"/>
    </xf>
    <xf numFmtId="164" fontId="12" fillId="3" borderId="0" xfId="80" applyFont="1" applyFill="1" applyBorder="1" applyAlignment="1">
      <alignment vertical="center"/>
    </xf>
    <xf numFmtId="164" fontId="12" fillId="0" borderId="0" xfId="80" applyFont="1" applyBorder="1" applyAlignment="1">
      <alignment horizontal="right" vertical="center"/>
    </xf>
    <xf numFmtId="164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27" xfId="0" applyNumberFormat="1" applyFont="1" applyFill="1" applyBorder="1" applyAlignment="1">
      <alignment horizontal="center" vertic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7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9" fillId="0" borderId="0" xfId="709"/>
    <xf numFmtId="4" fontId="39" fillId="0" borderId="0" xfId="709" applyNumberFormat="1"/>
    <xf numFmtId="2" fontId="39" fillId="0" borderId="0" xfId="709" applyNumberFormat="1"/>
    <xf numFmtId="0" fontId="39" fillId="4" borderId="49" xfId="709" applyFill="1" applyBorder="1" applyAlignment="1">
      <alignment horizontal="center"/>
    </xf>
    <xf numFmtId="0" fontId="39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39" fillId="3" borderId="0" xfId="709" applyNumberFormat="1" applyFill="1" applyBorder="1" applyAlignment="1">
      <alignment horizontal="center" vertical="center"/>
    </xf>
    <xf numFmtId="4" fontId="39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39" fillId="0" borderId="0" xfId="709" applyFont="1" applyBorder="1"/>
    <xf numFmtId="0" fontId="39" fillId="0" borderId="0" xfId="709" applyBorder="1"/>
    <xf numFmtId="4" fontId="39" fillId="0" borderId="0" xfId="709" applyNumberFormat="1" applyBorder="1"/>
    <xf numFmtId="2" fontId="39" fillId="0" borderId="0" xfId="709" applyNumberFormat="1" applyBorder="1"/>
    <xf numFmtId="0" fontId="41" fillId="0" borderId="0" xfId="709" applyFont="1" applyBorder="1"/>
    <xf numFmtId="0" fontId="41" fillId="0" borderId="0" xfId="709" applyFont="1" applyBorder="1" applyAlignment="1">
      <alignment horizontal="center"/>
    </xf>
    <xf numFmtId="166" fontId="39" fillId="0" borderId="0" xfId="709" applyNumberFormat="1" applyBorder="1" applyAlignment="1">
      <alignment horizontal="center"/>
    </xf>
    <xf numFmtId="166" fontId="39" fillId="0" borderId="0" xfId="709" applyNumberFormat="1" applyBorder="1"/>
    <xf numFmtId="0" fontId="42" fillId="0" borderId="0" xfId="709" applyFont="1"/>
    <xf numFmtId="169" fontId="42" fillId="0" borderId="0" xfId="775" applyFont="1"/>
    <xf numFmtId="0" fontId="42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8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8" fontId="14" fillId="0" borderId="0" xfId="773" applyFont="1"/>
    <xf numFmtId="0" fontId="38" fillId="0" borderId="0" xfId="709" applyFont="1"/>
    <xf numFmtId="168" fontId="38" fillId="0" borderId="0" xfId="773" applyFont="1"/>
    <xf numFmtId="0" fontId="47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8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2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49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39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2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39" fillId="0" borderId="20" xfId="0" applyNumberFormat="1" applyFont="1" applyBorder="1" applyAlignment="1">
      <alignment horizontal="center" vertical="center" wrapText="1"/>
    </xf>
    <xf numFmtId="4" fontId="39" fillId="3" borderId="49" xfId="0" applyNumberFormat="1" applyFont="1" applyFill="1" applyBorder="1" applyAlignment="1">
      <alignment horizontal="center"/>
    </xf>
    <xf numFmtId="4" fontId="39" fillId="0" borderId="20" xfId="0" applyNumberFormat="1" applyFont="1" applyBorder="1" applyAlignment="1">
      <alignment horizontal="center"/>
    </xf>
    <xf numFmtId="4" fontId="39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4" fillId="4" borderId="34" xfId="709" applyFont="1" applyFill="1" applyBorder="1" applyAlignment="1">
      <alignment horizontal="center" vertical="center" wrapText="1"/>
    </xf>
    <xf numFmtId="0" fontId="44" fillId="4" borderId="21" xfId="709" applyFont="1" applyFill="1" applyBorder="1" applyAlignment="1">
      <alignment horizontal="center" vertical="center" wrapText="1"/>
    </xf>
    <xf numFmtId="168" fontId="39" fillId="0" borderId="46" xfId="773" applyFont="1" applyBorder="1" applyAlignment="1">
      <alignment horizontal="center" wrapText="1"/>
    </xf>
    <xf numFmtId="168" fontId="39" fillId="0" borderId="34" xfId="773" applyFont="1" applyBorder="1" applyAlignment="1">
      <alignment horizontal="center" wrapText="1"/>
    </xf>
    <xf numFmtId="168" fontId="39" fillId="0" borderId="49" xfId="773" applyFont="1" applyBorder="1" applyAlignment="1">
      <alignment horizontal="center" wrapText="1"/>
    </xf>
    <xf numFmtId="4" fontId="39" fillId="0" borderId="44" xfId="709" applyNumberFormat="1" applyFont="1" applyBorder="1" applyAlignment="1">
      <alignment horizontal="center" wrapText="1"/>
    </xf>
    <xf numFmtId="2" fontId="39" fillId="0" borderId="49" xfId="709" applyNumberFormat="1" applyFont="1" applyBorder="1" applyAlignment="1">
      <alignment horizontal="center" wrapText="1"/>
    </xf>
    <xf numFmtId="4" fontId="39" fillId="0" borderId="49" xfId="709" applyNumberFormat="1" applyFont="1" applyBorder="1" applyAlignment="1">
      <alignment horizontal="center" wrapText="1"/>
    </xf>
    <xf numFmtId="168" fontId="39" fillId="0" borderId="43" xfId="773" applyFont="1" applyBorder="1" applyAlignment="1">
      <alignment horizontal="center" wrapText="1"/>
    </xf>
    <xf numFmtId="168" fontId="39" fillId="0" borderId="21" xfId="773" applyFont="1" applyBorder="1" applyAlignment="1">
      <alignment horizontal="center" wrapText="1"/>
    </xf>
    <xf numFmtId="168" fontId="39" fillId="0" borderId="50" xfId="773" applyFont="1" applyBorder="1" applyAlignment="1">
      <alignment horizontal="center" wrapText="1"/>
    </xf>
    <xf numFmtId="4" fontId="39" fillId="0" borderId="56" xfId="709" applyNumberFormat="1" applyFont="1" applyBorder="1" applyAlignment="1">
      <alignment horizontal="center" wrapText="1"/>
    </xf>
    <xf numFmtId="2" fontId="39" fillId="0" borderId="50" xfId="709" applyNumberFormat="1" applyFont="1" applyBorder="1" applyAlignment="1">
      <alignment horizontal="center" wrapText="1"/>
    </xf>
    <xf numFmtId="4" fontId="39" fillId="0" borderId="50" xfId="709" applyNumberFormat="1" applyFont="1" applyBorder="1" applyAlignment="1">
      <alignment horizontal="center" wrapText="1"/>
    </xf>
    <xf numFmtId="0" fontId="39" fillId="4" borderId="46" xfId="709" applyFont="1" applyFill="1" applyBorder="1" applyAlignment="1">
      <alignment horizontal="center" vertical="top" wrapText="1"/>
    </xf>
    <xf numFmtId="0" fontId="39" fillId="4" borderId="43" xfId="709" applyFont="1" applyFill="1" applyBorder="1" applyAlignment="1">
      <alignment horizontal="center" vertical="top" wrapText="1"/>
    </xf>
    <xf numFmtId="168" fontId="39" fillId="3" borderId="48" xfId="773" applyFont="1" applyFill="1" applyBorder="1" applyAlignment="1">
      <alignment horizontal="center" vertical="center" wrapText="1"/>
    </xf>
    <xf numFmtId="168" fontId="39" fillId="3" borderId="50" xfId="773" applyFont="1" applyFill="1" applyBorder="1" applyAlignment="1">
      <alignment horizontal="center" vertical="center" wrapText="1"/>
    </xf>
    <xf numFmtId="168" fontId="39" fillId="3" borderId="36" xfId="773" applyFont="1" applyFill="1" applyBorder="1" applyAlignment="1">
      <alignment horizontal="center" vertical="center" wrapText="1"/>
    </xf>
    <xf numFmtId="0" fontId="39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9" fontId="38" fillId="0" borderId="0" xfId="775" applyFont="1"/>
    <xf numFmtId="0" fontId="41" fillId="4" borderId="49" xfId="709" applyFont="1" applyFill="1" applyBorder="1" applyAlignment="1">
      <alignment horizontal="left" vertical="top" wrapText="1"/>
    </xf>
    <xf numFmtId="0" fontId="41" fillId="4" borderId="50" xfId="709" applyFont="1" applyFill="1" applyBorder="1" applyAlignment="1">
      <alignment horizontal="left" vertical="top" wrapText="1"/>
    </xf>
    <xf numFmtId="0" fontId="41" fillId="4" borderId="44" xfId="709" applyFont="1" applyFill="1" applyBorder="1" applyAlignment="1">
      <alignment horizontal="left" vertical="top" wrapText="1"/>
    </xf>
    <xf numFmtId="0" fontId="41" fillId="4" borderId="56" xfId="709" applyFont="1" applyFill="1" applyBorder="1" applyAlignment="1">
      <alignment horizontal="left" vertical="top" wrapText="1"/>
    </xf>
    <xf numFmtId="0" fontId="39" fillId="0" borderId="0" xfId="709" applyFont="1"/>
    <xf numFmtId="14" fontId="41" fillId="4" borderId="41" xfId="709" applyNumberFormat="1" applyFont="1" applyFill="1" applyBorder="1" applyAlignment="1">
      <alignment horizontal="center" vertical="top"/>
    </xf>
    <xf numFmtId="14" fontId="41" fillId="4" borderId="41" xfId="774" applyNumberFormat="1" applyFont="1" applyFill="1" applyBorder="1" applyAlignment="1">
      <alignment horizontal="center" vertical="top"/>
    </xf>
    <xf numFmtId="14" fontId="41" fillId="4" borderId="42" xfId="709" applyNumberFormat="1" applyFont="1" applyFill="1" applyBorder="1" applyAlignment="1">
      <alignment horizontal="center" vertical="top"/>
    </xf>
    <xf numFmtId="14" fontId="41" fillId="4" borderId="23" xfId="709" applyNumberFormat="1" applyFont="1" applyFill="1" applyBorder="1" applyAlignment="1">
      <alignment horizontal="center" vertical="top"/>
    </xf>
    <xf numFmtId="14" fontId="41" fillId="4" borderId="17" xfId="774" applyNumberFormat="1" applyFont="1" applyFill="1" applyBorder="1" applyAlignment="1">
      <alignment horizontal="center" vertical="top"/>
    </xf>
    <xf numFmtId="14" fontId="41" fillId="4" borderId="41" xfId="709" applyNumberFormat="1" applyFont="1" applyFill="1" applyBorder="1" applyAlignment="1">
      <alignment horizontal="center" vertical="top" wrapText="1"/>
    </xf>
    <xf numFmtId="14" fontId="41" fillId="4" borderId="53" xfId="709" applyNumberFormat="1" applyFont="1" applyFill="1" applyBorder="1" applyAlignment="1">
      <alignment horizontal="center" vertical="top" wrapText="1"/>
    </xf>
    <xf numFmtId="0" fontId="41" fillId="4" borderId="34" xfId="709" applyFont="1" applyFill="1" applyBorder="1" applyAlignment="1">
      <alignment horizontal="left"/>
    </xf>
    <xf numFmtId="0" fontId="41" fillId="4" borderId="2" xfId="709" applyFont="1" applyFill="1" applyBorder="1"/>
    <xf numFmtId="14" fontId="41" fillId="4" borderId="41" xfId="0" applyNumberFormat="1" applyFont="1" applyFill="1" applyBorder="1" applyAlignment="1">
      <alignment horizontal="center"/>
    </xf>
    <xf numFmtId="14" fontId="41" fillId="4" borderId="53" xfId="0" applyNumberFormat="1" applyFont="1" applyFill="1" applyBorder="1" applyAlignment="1">
      <alignment horizontal="center"/>
    </xf>
    <xf numFmtId="0" fontId="41" fillId="4" borderId="44" xfId="709" applyFont="1" applyFill="1" applyBorder="1" applyAlignment="1">
      <alignment horizontal="left"/>
    </xf>
    <xf numFmtId="0" fontId="41" fillId="4" borderId="47" xfId="709" applyFont="1" applyFill="1" applyBorder="1"/>
    <xf numFmtId="0" fontId="41" fillId="4" borderId="44" xfId="709" applyFont="1" applyFill="1" applyBorder="1"/>
    <xf numFmtId="0" fontId="41" fillId="4" borderId="56" xfId="709" applyFont="1" applyFill="1" applyBorder="1" applyAlignment="1">
      <alignment horizontal="left"/>
    </xf>
    <xf numFmtId="0" fontId="41" fillId="4" borderId="48" xfId="709" applyFont="1" applyFill="1" applyBorder="1"/>
    <xf numFmtId="0" fontId="39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39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39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39" fillId="3" borderId="0" xfId="709" applyFill="1"/>
    <xf numFmtId="4" fontId="39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39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7" fillId="4" borderId="62" xfId="709" applyFont="1" applyFill="1" applyBorder="1" applyAlignment="1">
      <alignment horizontal="center" vertical="top" wrapText="1"/>
    </xf>
    <xf numFmtId="0" fontId="47" fillId="4" borderId="2" xfId="709" applyFont="1" applyFill="1" applyBorder="1" applyAlignment="1">
      <alignment horizontal="center" vertical="top" wrapText="1"/>
    </xf>
    <xf numFmtId="0" fontId="47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1" fillId="4" borderId="62" xfId="709" applyFont="1" applyFill="1" applyBorder="1" applyAlignment="1">
      <alignment horizontal="center" vertical="center" wrapText="1"/>
    </xf>
    <xf numFmtId="0" fontId="41" fillId="4" borderId="2" xfId="709" applyFont="1" applyFill="1" applyBorder="1" applyAlignment="1">
      <alignment horizontal="center" vertical="center" wrapText="1"/>
    </xf>
    <xf numFmtId="0" fontId="41" fillId="4" borderId="45" xfId="709" applyFont="1" applyFill="1" applyBorder="1" applyAlignment="1">
      <alignment horizontal="center" vertical="center" wrapText="1"/>
    </xf>
    <xf numFmtId="0" fontId="41" fillId="4" borderId="13" xfId="709" applyFont="1" applyFill="1" applyBorder="1" applyAlignment="1">
      <alignment horizontal="center" vertical="center" wrapText="1"/>
    </xf>
    <xf numFmtId="0" fontId="41" fillId="4" borderId="34" xfId="709" applyFont="1" applyFill="1" applyBorder="1" applyAlignment="1">
      <alignment horizontal="center" vertical="center" wrapText="1"/>
    </xf>
    <xf numFmtId="0" fontId="41" fillId="4" borderId="46" xfId="709" applyFont="1" applyFill="1" applyBorder="1" applyAlignment="1">
      <alignment horizontal="center" vertical="center" wrapText="1"/>
    </xf>
    <xf numFmtId="10" fontId="41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2" fontId="39" fillId="0" borderId="45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/>
    </xf>
    <xf numFmtId="2" fontId="39" fillId="0" borderId="36" xfId="0" applyNumberFormat="1" applyFont="1" applyBorder="1" applyAlignment="1">
      <alignment horizontal="center"/>
    </xf>
    <xf numFmtId="4" fontId="39" fillId="0" borderId="45" xfId="0" applyNumberFormat="1" applyFont="1" applyBorder="1" applyAlignment="1">
      <alignment horizontal="center"/>
    </xf>
    <xf numFmtId="4" fontId="39" fillId="0" borderId="27" xfId="0" applyNumberFormat="1" applyFont="1" applyBorder="1" applyAlignment="1">
      <alignment horizontal="center"/>
    </xf>
    <xf numFmtId="4" fontId="39" fillId="0" borderId="50" xfId="0" applyNumberFormat="1" applyFont="1" applyBorder="1" applyAlignment="1">
      <alignment horizontal="center"/>
    </xf>
    <xf numFmtId="4" fontId="39" fillId="0" borderId="36" xfId="0" applyNumberFormat="1" applyFont="1" applyBorder="1" applyAlignment="1">
      <alignment horizontal="center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38" fillId="0" borderId="0" xfId="709" applyFont="1" applyAlignment="1">
      <alignment horizontal="left"/>
    </xf>
    <xf numFmtId="0" fontId="47" fillId="0" borderId="0" xfId="709" applyFont="1" applyAlignment="1">
      <alignment horizontal="left" vertical="top"/>
    </xf>
    <xf numFmtId="0" fontId="14" fillId="3" borderId="0" xfId="0" applyFont="1" applyFill="1" applyBorder="1" applyAlignment="1">
      <alignment horizontal="left" vertical="center"/>
    </xf>
    <xf numFmtId="0" fontId="54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4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7" fillId="0" borderId="0" xfId="709" applyFont="1" applyAlignment="1">
      <alignment horizontal="center"/>
    </xf>
    <xf numFmtId="0" fontId="60" fillId="2" borderId="63" xfId="0" applyFont="1" applyFill="1" applyBorder="1" applyAlignment="1">
      <alignment horizontal="center" vertical="center"/>
    </xf>
    <xf numFmtId="0" fontId="60" fillId="2" borderId="63" xfId="0" applyFont="1" applyFill="1" applyBorder="1" applyAlignment="1">
      <alignment horizontal="center" vertical="center" wrapText="1"/>
    </xf>
    <xf numFmtId="0" fontId="60" fillId="2" borderId="77" xfId="0" applyFont="1" applyFill="1" applyBorder="1" applyAlignment="1">
      <alignment horizontal="center" vertical="center" wrapText="1"/>
    </xf>
    <xf numFmtId="0" fontId="42" fillId="0" borderId="0" xfId="709" applyFont="1" applyBorder="1"/>
    <xf numFmtId="0" fontId="53" fillId="4" borderId="34" xfId="709" applyFont="1" applyFill="1" applyBorder="1" applyAlignment="1">
      <alignment horizontal="center" vertical="center" wrapText="1"/>
    </xf>
    <xf numFmtId="0" fontId="53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2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3" fontId="14" fillId="0" borderId="26" xfId="0" applyNumberFormat="1" applyFont="1" applyBorder="1"/>
    <xf numFmtId="164" fontId="14" fillId="0" borderId="6" xfId="80" applyFont="1" applyBorder="1"/>
    <xf numFmtId="14" fontId="13" fillId="4" borderId="31" xfId="0" applyNumberFormat="1" applyFont="1" applyFill="1" applyBorder="1" applyAlignment="1">
      <alignment horizontal="center"/>
    </xf>
    <xf numFmtId="0" fontId="49" fillId="3" borderId="0" xfId="709" applyFont="1" applyFill="1" applyBorder="1" applyAlignment="1">
      <alignment horizontal="center" wrapText="1"/>
    </xf>
    <xf numFmtId="0" fontId="49" fillId="3" borderId="24" xfId="709" applyFont="1" applyFill="1" applyBorder="1" applyAlignment="1">
      <alignment horizontal="center" wrapText="1"/>
    </xf>
    <xf numFmtId="168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62" fillId="0" borderId="0" xfId="709" applyFont="1"/>
    <xf numFmtId="4" fontId="16" fillId="0" borderId="50" xfId="0" applyNumberFormat="1" applyFont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14" fontId="17" fillId="4" borderId="43" xfId="0" applyNumberFormat="1" applyFont="1" applyFill="1" applyBorder="1" applyAlignment="1">
      <alignment horizontal="center"/>
    </xf>
    <xf numFmtId="14" fontId="41" fillId="4" borderId="43" xfId="709" applyNumberFormat="1" applyFont="1" applyFill="1" applyBorder="1" applyAlignment="1">
      <alignment horizontal="center" vertical="top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center"/>
    </xf>
    <xf numFmtId="4" fontId="39" fillId="0" borderId="62" xfId="0" applyNumberFormat="1" applyFont="1" applyBorder="1" applyAlignment="1">
      <alignment horizontal="center" vertical="center" wrapText="1"/>
    </xf>
    <xf numFmtId="4" fontId="39" fillId="0" borderId="49" xfId="0" applyNumberFormat="1" applyFont="1" applyBorder="1" applyAlignment="1">
      <alignment horizontal="center" vertical="center" wrapText="1"/>
    </xf>
    <xf numFmtId="4" fontId="39" fillId="0" borderId="50" xfId="0" applyNumberFormat="1" applyFont="1" applyBorder="1" applyAlignment="1">
      <alignment horizontal="center" vertical="center" wrapText="1"/>
    </xf>
    <xf numFmtId="0" fontId="63" fillId="0" borderId="46" xfId="709" applyFont="1" applyBorder="1" applyAlignment="1">
      <alignment horizontal="center" vertical="top" wrapText="1"/>
    </xf>
    <xf numFmtId="168" fontId="62" fillId="0" borderId="46" xfId="773" applyFont="1" applyBorder="1" applyAlignment="1">
      <alignment horizontal="center" wrapText="1"/>
    </xf>
    <xf numFmtId="168" fontId="62" fillId="0" borderId="49" xfId="773" applyFont="1" applyBorder="1" applyAlignment="1">
      <alignment horizontal="center" wrapText="1"/>
    </xf>
    <xf numFmtId="168" fontId="62" fillId="0" borderId="62" xfId="773" applyFont="1" applyBorder="1" applyAlignment="1">
      <alignment horizontal="center" wrapText="1"/>
    </xf>
    <xf numFmtId="168" fontId="62" fillId="0" borderId="27" xfId="773" applyFont="1" applyBorder="1" applyAlignment="1">
      <alignment horizontal="center" wrapText="1"/>
    </xf>
    <xf numFmtId="0" fontId="62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2" fillId="0" borderId="4" xfId="773" applyFont="1" applyBorder="1" applyAlignment="1">
      <alignment horizontal="justify" wrapText="1"/>
    </xf>
    <xf numFmtId="168" fontId="62" fillId="0" borderId="26" xfId="773" applyFont="1" applyBorder="1" applyAlignment="1">
      <alignment horizontal="justify" wrapText="1"/>
    </xf>
    <xf numFmtId="168" fontId="62" fillId="0" borderId="15" xfId="773" applyFont="1" applyBorder="1" applyAlignment="1">
      <alignment horizontal="justify" wrapText="1"/>
    </xf>
    <xf numFmtId="168" fontId="62" fillId="0" borderId="31" xfId="773" applyFont="1" applyBorder="1" applyAlignment="1">
      <alignment horizontal="justify" wrapText="1"/>
    </xf>
    <xf numFmtId="168" fontId="62" fillId="0" borderId="32" xfId="773" applyFont="1" applyBorder="1" applyAlignment="1">
      <alignment horizontal="justify" wrapText="1"/>
    </xf>
    <xf numFmtId="168" fontId="62" fillId="0" borderId="22" xfId="773" applyFont="1" applyBorder="1" applyAlignment="1">
      <alignment horizontal="justify" wrapText="1"/>
    </xf>
    <xf numFmtId="0" fontId="62" fillId="0" borderId="0" xfId="709" applyFont="1" applyBorder="1" applyAlignment="1">
      <alignment horizontal="center"/>
    </xf>
    <xf numFmtId="168" fontId="62" fillId="0" borderId="0" xfId="773" applyFont="1" applyBorder="1" applyAlignment="1">
      <alignment horizontal="justify" wrapText="1"/>
    </xf>
    <xf numFmtId="0" fontId="66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49" xfId="773" applyNumberFormat="1" applyFont="1" applyBorder="1" applyAlignment="1">
      <alignment horizontal="center" vertical="center" wrapText="1"/>
    </xf>
    <xf numFmtId="4" fontId="39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6" fillId="0" borderId="0" xfId="0" applyFont="1"/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63" fillId="0" borderId="62" xfId="709" applyFont="1" applyBorder="1" applyAlignment="1">
      <alignment horizontal="center" wrapText="1"/>
    </xf>
    <xf numFmtId="0" fontId="78" fillId="0" borderId="0" xfId="0" applyFont="1"/>
    <xf numFmtId="0" fontId="42" fillId="0" borderId="0" xfId="709" applyFont="1" applyBorder="1" applyAlignment="1" applyProtection="1">
      <protection locked="0"/>
    </xf>
    <xf numFmtId="0" fontId="78" fillId="0" borderId="0" xfId="0" applyFont="1" applyAlignment="1">
      <alignment horizontal="left" vertical="center" wrapText="1"/>
    </xf>
    <xf numFmtId="0" fontId="73" fillId="3" borderId="0" xfId="0" applyFont="1" applyFill="1" applyBorder="1" applyAlignment="1">
      <alignment horizontal="center" vertical="center" wrapText="1"/>
    </xf>
    <xf numFmtId="4" fontId="78" fillId="0" borderId="0" xfId="0" applyNumberFormat="1" applyFont="1" applyBorder="1" applyAlignment="1">
      <alignment horizontal="center"/>
    </xf>
    <xf numFmtId="4" fontId="78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68" fillId="0" borderId="0" xfId="0" applyNumberFormat="1" applyFont="1" applyBorder="1" applyAlignment="1"/>
    <xf numFmtId="0" fontId="71" fillId="0" borderId="0" xfId="0" applyFont="1" applyBorder="1"/>
    <xf numFmtId="0" fontId="3" fillId="0" borderId="0" xfId="0" applyFont="1" applyProtection="1">
      <protection locked="0"/>
    </xf>
    <xf numFmtId="0" fontId="82" fillId="3" borderId="0" xfId="0" applyFont="1" applyFill="1" applyBorder="1" applyAlignment="1">
      <alignment horizontal="center" vertical="center" wrapText="1"/>
    </xf>
    <xf numFmtId="0" fontId="39" fillId="0" borderId="23" xfId="709" applyFont="1" applyBorder="1" applyAlignment="1">
      <alignment horizontal="left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3" fillId="0" borderId="54" xfId="709" applyFont="1" applyBorder="1" applyAlignment="1">
      <alignment horizontal="center" vertical="top" wrapText="1"/>
    </xf>
    <xf numFmtId="168" fontId="62" fillId="0" borderId="54" xfId="773" applyFont="1" applyBorder="1" applyAlignment="1">
      <alignment horizontal="center" wrapText="1"/>
    </xf>
    <xf numFmtId="168" fontId="62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2" fillId="4" borderId="47" xfId="709" applyFont="1" applyFill="1" applyBorder="1" applyAlignment="1"/>
    <xf numFmtId="0" fontId="62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4" fontId="78" fillId="0" borderId="24" xfId="0" applyNumberFormat="1" applyFont="1" applyBorder="1" applyAlignment="1">
      <alignment horizontal="right"/>
    </xf>
    <xf numFmtId="0" fontId="78" fillId="4" borderId="43" xfId="0" applyFont="1" applyFill="1" applyBorder="1" applyAlignment="1">
      <alignment horizontal="center" vertical="center"/>
    </xf>
    <xf numFmtId="4" fontId="78" fillId="0" borderId="77" xfId="0" applyNumberFormat="1" applyFont="1" applyBorder="1" applyAlignment="1">
      <alignment horizontal="center"/>
    </xf>
    <xf numFmtId="4" fontId="78" fillId="0" borderId="78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14" fontId="80" fillId="8" borderId="18" xfId="0" applyNumberFormat="1" applyFont="1" applyFill="1" applyBorder="1" applyAlignment="1">
      <alignment horizontal="center" vertical="center" wrapText="1"/>
    </xf>
    <xf numFmtId="49" fontId="81" fillId="4" borderId="10" xfId="0" applyNumberFormat="1" applyFont="1" applyFill="1" applyBorder="1" applyAlignment="1">
      <alignment horizontal="center" vertical="center" wrapText="1"/>
    </xf>
    <xf numFmtId="4" fontId="78" fillId="3" borderId="10" xfId="0" applyNumberFormat="1" applyFont="1" applyFill="1" applyBorder="1" applyAlignment="1">
      <alignment horizontal="center"/>
    </xf>
    <xf numFmtId="0" fontId="75" fillId="4" borderId="50" xfId="0" applyFont="1" applyFill="1" applyBorder="1" applyAlignment="1">
      <alignment horizontal="center" vertic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37" xfId="0" applyNumberFormat="1" applyFont="1" applyFill="1" applyBorder="1" applyAlignment="1">
      <alignment horizontal="center"/>
    </xf>
    <xf numFmtId="0" fontId="75" fillId="4" borderId="10" xfId="0" applyFont="1" applyFill="1" applyBorder="1" applyAlignment="1">
      <alignment horizontal="center" vertical="center" wrapText="1"/>
    </xf>
    <xf numFmtId="0" fontId="75" fillId="4" borderId="11" xfId="0" applyFont="1" applyFill="1" applyBorder="1" applyAlignment="1">
      <alignment horizontal="center" vertical="center" wrapText="1"/>
    </xf>
    <xf numFmtId="4" fontId="78" fillId="0" borderId="32" xfId="0" applyNumberFormat="1" applyFont="1" applyBorder="1" applyAlignment="1">
      <alignment horizontal="center"/>
    </xf>
    <xf numFmtId="14" fontId="80" fillId="8" borderId="9" xfId="0" applyNumberFormat="1" applyFont="1" applyFill="1" applyBorder="1" applyAlignment="1">
      <alignment horizontal="center" vertical="center" wrapText="1"/>
    </xf>
    <xf numFmtId="4" fontId="78" fillId="0" borderId="33" xfId="0" applyNumberFormat="1" applyFont="1" applyBorder="1" applyAlignment="1" applyProtection="1">
      <alignment horizontal="center"/>
      <protection locked="0"/>
    </xf>
    <xf numFmtId="4" fontId="78" fillId="0" borderId="18" xfId="0" applyNumberFormat="1" applyFont="1" applyBorder="1" applyAlignment="1" applyProtection="1">
      <alignment horizontal="center"/>
      <protection locked="0"/>
    </xf>
    <xf numFmtId="0" fontId="78" fillId="4" borderId="62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>
      <alignment horizontal="center" vertical="center" wrapText="1"/>
    </xf>
    <xf numFmtId="0" fontId="75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3" fillId="4" borderId="62" xfId="774" applyNumberFormat="1" applyFont="1" applyFill="1" applyBorder="1" applyAlignment="1">
      <alignment horizontal="center" vertical="center"/>
    </xf>
    <xf numFmtId="0" fontId="73" fillId="3" borderId="0" xfId="0" applyFont="1" applyFill="1" applyBorder="1" applyAlignment="1" applyProtection="1">
      <alignment vertical="top" wrapText="1"/>
    </xf>
    <xf numFmtId="0" fontId="78" fillId="4" borderId="41" xfId="0" applyFont="1" applyFill="1" applyBorder="1" applyAlignment="1">
      <alignment horizontal="center" vertical="center"/>
    </xf>
    <xf numFmtId="0" fontId="78" fillId="0" borderId="46" xfId="0" applyFont="1" applyBorder="1" applyAlignment="1">
      <alignment horizontal="center" vertical="center"/>
    </xf>
    <xf numFmtId="0" fontId="78" fillId="0" borderId="49" xfId="0" applyFont="1" applyBorder="1" applyAlignment="1">
      <alignment horizontal="center" vertical="center"/>
    </xf>
    <xf numFmtId="0" fontId="78" fillId="0" borderId="50" xfId="0" applyFont="1" applyBorder="1" applyAlignment="1">
      <alignment horizontal="center" vertic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168" fontId="62" fillId="0" borderId="43" xfId="773" applyFont="1" applyBorder="1" applyAlignment="1">
      <alignment horizontal="center" vertical="center" wrapText="1"/>
    </xf>
    <xf numFmtId="10" fontId="72" fillId="4" borderId="55" xfId="774" applyNumberFormat="1" applyFont="1" applyFill="1" applyBorder="1" applyAlignment="1">
      <alignment horizontal="center" vertical="center" wrapText="1"/>
    </xf>
    <xf numFmtId="0" fontId="53" fillId="4" borderId="62" xfId="709" applyFont="1" applyFill="1" applyBorder="1" applyAlignment="1">
      <alignment horizontal="center" vertical="center" wrapText="1"/>
    </xf>
    <xf numFmtId="0" fontId="84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8" xfId="0" applyFont="1" applyBorder="1"/>
    <xf numFmtId="164" fontId="39" fillId="0" borderId="50" xfId="80" applyFont="1" applyBorder="1" applyAlignment="1">
      <alignment vertical="center" wrapText="1"/>
    </xf>
    <xf numFmtId="164" fontId="39" fillId="0" borderId="44" xfId="80" applyFont="1" applyBorder="1" applyAlignment="1">
      <alignment vertical="center" wrapText="1"/>
    </xf>
    <xf numFmtId="164" fontId="39" fillId="0" borderId="49" xfId="80" applyFont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81" fillId="4" borderId="35" xfId="0" applyNumberFormat="1" applyFont="1" applyFill="1" applyBorder="1" applyAlignment="1">
      <alignment horizontal="center" vertical="center" wrapText="1"/>
    </xf>
    <xf numFmtId="14" fontId="41" fillId="4" borderId="21" xfId="709" applyNumberFormat="1" applyFont="1" applyFill="1" applyBorder="1" applyAlignment="1">
      <alignment horizontal="center" vertical="top" wrapText="1"/>
    </xf>
    <xf numFmtId="14" fontId="41" fillId="4" borderId="22" xfId="709" applyNumberFormat="1" applyFont="1" applyFill="1" applyBorder="1" applyAlignment="1">
      <alignment horizontal="center" vertical="top" wrapText="1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justify" wrapText="1"/>
    </xf>
    <xf numFmtId="0" fontId="33" fillId="6" borderId="5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14" fontId="14" fillId="4" borderId="44" xfId="0" applyNumberFormat="1" applyFont="1" applyFill="1" applyBorder="1" applyAlignment="1">
      <alignment horizontal="center"/>
    </xf>
    <xf numFmtId="14" fontId="14" fillId="4" borderId="56" xfId="0" applyNumberFormat="1" applyFont="1" applyFill="1" applyBorder="1" applyAlignment="1">
      <alignment horizontal="center"/>
    </xf>
    <xf numFmtId="14" fontId="14" fillId="4" borderId="49" xfId="0" applyNumberFormat="1" applyFont="1" applyFill="1" applyBorder="1" applyAlignment="1">
      <alignment horizontal="center"/>
    </xf>
    <xf numFmtId="14" fontId="14" fillId="4" borderId="50" xfId="0" applyNumberFormat="1" applyFont="1" applyFill="1" applyBorder="1" applyAlignment="1">
      <alignment horizontal="center"/>
    </xf>
    <xf numFmtId="14" fontId="13" fillId="4" borderId="43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2" fillId="0" borderId="31" xfId="0" applyNumberFormat="1" applyFont="1" applyBorder="1" applyAlignment="1">
      <alignment horizontal="center"/>
    </xf>
    <xf numFmtId="0" fontId="12" fillId="0" borderId="55" xfId="0" applyFont="1" applyBorder="1"/>
    <xf numFmtId="0" fontId="86" fillId="0" borderId="0" xfId="0" applyFont="1"/>
    <xf numFmtId="0" fontId="87" fillId="0" borderId="0" xfId="0" applyFont="1" applyBorder="1"/>
    <xf numFmtId="0" fontId="87" fillId="0" borderId="0" xfId="0" applyFont="1"/>
    <xf numFmtId="0" fontId="86" fillId="3" borderId="0" xfId="0" applyFont="1" applyFill="1"/>
    <xf numFmtId="0" fontId="1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164" fontId="39" fillId="0" borderId="46" xfId="80" applyFont="1" applyBorder="1" applyAlignment="1">
      <alignment vertical="center" wrapText="1"/>
    </xf>
    <xf numFmtId="0" fontId="47" fillId="0" borderId="0" xfId="709" applyFont="1" applyAlignment="1">
      <alignment horizontal="center"/>
    </xf>
    <xf numFmtId="0" fontId="39" fillId="4" borderId="47" xfId="0" applyFont="1" applyFill="1" applyBorder="1" applyAlignment="1">
      <alignment horizontal="left" vertical="center" wrapText="1" shrinkToFit="1"/>
    </xf>
    <xf numFmtId="4" fontId="39" fillId="0" borderId="68" xfId="773" applyNumberFormat="1" applyFont="1" applyBorder="1" applyAlignment="1">
      <alignment horizontal="center" vertical="center" wrapText="1"/>
    </xf>
    <xf numFmtId="164" fontId="39" fillId="0" borderId="1" xfId="80" applyFont="1" applyBorder="1" applyAlignment="1">
      <alignment vertical="center" wrapText="1"/>
    </xf>
    <xf numFmtId="4" fontId="39" fillId="0" borderId="1" xfId="773" applyNumberFormat="1" applyFont="1" applyBorder="1" applyAlignment="1">
      <alignment horizontal="center" vertical="center" wrapText="1"/>
    </xf>
    <xf numFmtId="4" fontId="39" fillId="0" borderId="10" xfId="773" applyNumberFormat="1" applyFont="1" applyBorder="1" applyAlignment="1">
      <alignment horizontal="center" vertical="center" wrapText="1"/>
    </xf>
    <xf numFmtId="164" fontId="39" fillId="0" borderId="10" xfId="80" applyFont="1" applyBorder="1" applyAlignment="1">
      <alignment vertical="center" wrapText="1"/>
    </xf>
    <xf numFmtId="0" fontId="39" fillId="4" borderId="44" xfId="709" applyFont="1" applyFill="1" applyBorder="1" applyAlignment="1">
      <alignment horizontal="center" vertical="center" wrapText="1"/>
    </xf>
    <xf numFmtId="164" fontId="39" fillId="0" borderId="3" xfId="80" applyFont="1" applyBorder="1" applyAlignment="1">
      <alignment vertical="center" wrapText="1"/>
    </xf>
    <xf numFmtId="164" fontId="39" fillId="0" borderId="18" xfId="80" applyFont="1" applyBorder="1" applyAlignment="1">
      <alignment vertical="center" wrapText="1"/>
    </xf>
    <xf numFmtId="4" fontId="39" fillId="0" borderId="7" xfId="773" applyNumberFormat="1" applyFont="1" applyBorder="1" applyAlignment="1">
      <alignment horizontal="center" vertical="center" wrapText="1"/>
    </xf>
    <xf numFmtId="4" fontId="39" fillId="0" borderId="8" xfId="773" applyNumberFormat="1" applyFont="1" applyBorder="1" applyAlignment="1">
      <alignment horizontal="center" vertical="center" wrapText="1"/>
    </xf>
    <xf numFmtId="4" fontId="39" fillId="0" borderId="9" xfId="773" applyNumberFormat="1" applyFont="1" applyBorder="1" applyAlignment="1">
      <alignment horizontal="center" vertical="center" wrapText="1"/>
    </xf>
    <xf numFmtId="4" fontId="39" fillId="3" borderId="9" xfId="773" applyNumberFormat="1" applyFont="1" applyFill="1" applyBorder="1" applyAlignment="1">
      <alignment horizontal="center" vertical="center" wrapText="1"/>
    </xf>
    <xf numFmtId="4" fontId="39" fillId="3" borderId="10" xfId="773" applyNumberFormat="1" applyFont="1" applyFill="1" applyBorder="1" applyAlignment="1">
      <alignment horizontal="center" vertical="center" wrapText="1"/>
    </xf>
    <xf numFmtId="4" fontId="39" fillId="3" borderId="11" xfId="773" applyNumberFormat="1" applyFont="1" applyFill="1" applyBorder="1" applyAlignment="1">
      <alignment horizontal="center" vertical="center" wrapText="1"/>
    </xf>
    <xf numFmtId="164" fontId="39" fillId="3" borderId="50" xfId="80" applyFont="1" applyFill="1" applyBorder="1" applyAlignment="1">
      <alignment vertical="center" wrapText="1"/>
    </xf>
    <xf numFmtId="164" fontId="39" fillId="3" borderId="18" xfId="80" applyFont="1" applyFill="1" applyBorder="1" applyAlignment="1">
      <alignment vertical="center" wrapText="1"/>
    </xf>
    <xf numFmtId="164" fontId="39" fillId="3" borderId="10" xfId="80" applyFont="1" applyFill="1" applyBorder="1" applyAlignment="1">
      <alignment vertical="center" wrapText="1"/>
    </xf>
    <xf numFmtId="4" fontId="39" fillId="3" borderId="0" xfId="773" applyNumberFormat="1" applyFont="1" applyFill="1" applyBorder="1" applyAlignment="1">
      <alignment horizontal="center" vertical="center" wrapText="1"/>
    </xf>
    <xf numFmtId="164" fontId="39" fillId="3" borderId="0" xfId="80" applyFont="1" applyFill="1" applyBorder="1" applyAlignment="1">
      <alignment vertical="center" wrapText="1"/>
    </xf>
    <xf numFmtId="0" fontId="39" fillId="4" borderId="56" xfId="709" applyFont="1" applyFill="1" applyBorder="1" applyAlignment="1">
      <alignment horizontal="center" vertical="center" wrapText="1"/>
    </xf>
    <xf numFmtId="164" fontId="39" fillId="3" borderId="20" xfId="80" applyFont="1" applyFill="1" applyBorder="1" applyAlignment="1">
      <alignment vertical="center" wrapText="1"/>
    </xf>
    <xf numFmtId="4" fontId="39" fillId="0" borderId="3" xfId="773" applyNumberFormat="1" applyFont="1" applyBorder="1" applyAlignment="1">
      <alignment horizontal="center" vertical="center" wrapText="1"/>
    </xf>
    <xf numFmtId="4" fontId="39" fillId="3" borderId="18" xfId="773" applyNumberFormat="1" applyFont="1" applyFill="1" applyBorder="1" applyAlignment="1">
      <alignment horizontal="center" vertical="center" wrapText="1"/>
    </xf>
    <xf numFmtId="0" fontId="39" fillId="4" borderId="49" xfId="709" applyFont="1" applyFill="1" applyBorder="1" applyAlignment="1">
      <alignment horizontal="center" vertical="center" wrapText="1"/>
    </xf>
    <xf numFmtId="4" fontId="39" fillId="0" borderId="33" xfId="709" applyNumberFormat="1" applyFont="1" applyBorder="1" applyAlignment="1">
      <alignment horizontal="center" vertical="center" wrapText="1"/>
    </xf>
    <xf numFmtId="4" fontId="39" fillId="0" borderId="39" xfId="709" applyNumberFormat="1" applyFont="1" applyBorder="1" applyAlignment="1">
      <alignment horizontal="center" vertical="center" wrapText="1"/>
    </xf>
    <xf numFmtId="4" fontId="39" fillId="0" borderId="37" xfId="709" applyNumberFormat="1" applyFont="1" applyBorder="1" applyAlignment="1">
      <alignment horizontal="center" vertical="center" wrapText="1"/>
    </xf>
    <xf numFmtId="0" fontId="41" fillId="4" borderId="41" xfId="709" applyFont="1" applyFill="1" applyBorder="1" applyAlignment="1">
      <alignment horizontal="center" vertical="center" wrapText="1"/>
    </xf>
    <xf numFmtId="0" fontId="41" fillId="4" borderId="61" xfId="709" applyFont="1" applyFill="1" applyBorder="1" applyAlignment="1">
      <alignment horizontal="center" vertical="center" wrapText="1"/>
    </xf>
    <xf numFmtId="0" fontId="41" fillId="4" borderId="66" xfId="709" applyFont="1" applyFill="1" applyBorder="1" applyAlignment="1">
      <alignment horizontal="center" vertical="center" wrapText="1"/>
    </xf>
    <xf numFmtId="0" fontId="41" fillId="4" borderId="57" xfId="709" applyFont="1" applyFill="1" applyBorder="1" applyAlignment="1">
      <alignment horizontal="center" vertical="center" wrapText="1"/>
    </xf>
    <xf numFmtId="164" fontId="39" fillId="0" borderId="33" xfId="80" applyFont="1" applyBorder="1" applyAlignment="1">
      <alignment vertical="center" wrapText="1"/>
    </xf>
    <xf numFmtId="164" fontId="39" fillId="0" borderId="39" xfId="80" applyFont="1" applyBorder="1" applyAlignment="1">
      <alignment vertical="center" wrapText="1"/>
    </xf>
    <xf numFmtId="164" fontId="39" fillId="0" borderId="37" xfId="80" applyFont="1" applyBorder="1" applyAlignment="1">
      <alignment vertical="center" wrapText="1"/>
    </xf>
    <xf numFmtId="0" fontId="41" fillId="4" borderId="65" xfId="709" applyFont="1" applyFill="1" applyBorder="1" applyAlignment="1">
      <alignment horizontal="center" vertical="center" wrapText="1"/>
    </xf>
    <xf numFmtId="10" fontId="41" fillId="4" borderId="57" xfId="774" applyNumberFormat="1" applyFont="1" applyFill="1" applyBorder="1" applyAlignment="1">
      <alignment horizontal="center" vertical="center"/>
    </xf>
    <xf numFmtId="4" fontId="39" fillId="3" borderId="52" xfId="773" applyNumberFormat="1" applyFont="1" applyFill="1" applyBorder="1" applyAlignment="1">
      <alignment horizontal="center" vertical="center" wrapText="1"/>
    </xf>
    <xf numFmtId="0" fontId="39" fillId="4" borderId="34" xfId="709" applyFont="1" applyFill="1" applyBorder="1" applyAlignment="1">
      <alignment horizontal="center" vertical="center" wrapText="1"/>
    </xf>
    <xf numFmtId="4" fontId="39" fillId="0" borderId="38" xfId="709" applyNumberFormat="1" applyFont="1" applyBorder="1" applyAlignment="1">
      <alignment horizontal="center" vertical="center" wrapText="1"/>
    </xf>
    <xf numFmtId="0" fontId="41" fillId="4" borderId="67" xfId="709" applyFont="1" applyFill="1" applyBorder="1" applyAlignment="1">
      <alignment horizontal="center" vertical="center" wrapText="1"/>
    </xf>
    <xf numFmtId="4" fontId="39" fillId="0" borderId="40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27" xfId="773" applyNumberFormat="1" applyFont="1" applyBorder="1" applyAlignment="1">
      <alignment horizontal="center" vertical="center" wrapText="1"/>
    </xf>
    <xf numFmtId="4" fontId="39" fillId="3" borderId="36" xfId="773" applyNumberFormat="1" applyFont="1" applyFill="1" applyBorder="1" applyAlignment="1">
      <alignment horizontal="center" vertical="center" wrapText="1"/>
    </xf>
    <xf numFmtId="0" fontId="41" fillId="4" borderId="63" xfId="709" applyFont="1" applyFill="1" applyBorder="1" applyAlignment="1">
      <alignment horizontal="center" vertical="center" wrapText="1"/>
    </xf>
    <xf numFmtId="0" fontId="41" fillId="4" borderId="71" xfId="709" applyFont="1" applyFill="1" applyBorder="1" applyAlignment="1">
      <alignment horizontal="center" vertical="center" wrapText="1"/>
    </xf>
    <xf numFmtId="4" fontId="39" fillId="0" borderId="4" xfId="709" applyNumberFormat="1" applyFont="1" applyBorder="1" applyAlignment="1">
      <alignment horizontal="center" vertical="center" wrapText="1"/>
    </xf>
    <xf numFmtId="4" fontId="39" fillId="0" borderId="5" xfId="709" applyNumberFormat="1" applyFont="1" applyBorder="1" applyAlignment="1">
      <alignment horizontal="center" vertical="center" wrapText="1"/>
    </xf>
    <xf numFmtId="4" fontId="39" fillId="0" borderId="6" xfId="709" applyNumberFormat="1" applyFont="1" applyBorder="1" applyAlignment="1">
      <alignment horizontal="center" vertical="center" wrapText="1"/>
    </xf>
    <xf numFmtId="0" fontId="41" fillId="4" borderId="72" xfId="709" applyFont="1" applyFill="1" applyBorder="1" applyAlignment="1">
      <alignment horizontal="center" vertical="center" wrapText="1"/>
    </xf>
    <xf numFmtId="4" fontId="39" fillId="0" borderId="12" xfId="773" applyNumberFormat="1" applyFont="1" applyBorder="1" applyAlignment="1">
      <alignment horizontal="center" vertical="center" wrapText="1"/>
    </xf>
    <xf numFmtId="4" fontId="39" fillId="0" borderId="46" xfId="709" applyNumberFormat="1" applyFont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10" fontId="41" fillId="4" borderId="41" xfId="774" applyNumberFormat="1" applyFont="1" applyFill="1" applyBorder="1" applyAlignment="1">
      <alignment horizontal="center" vertical="center"/>
    </xf>
    <xf numFmtId="4" fontId="39" fillId="0" borderId="18" xfId="773" applyNumberFormat="1" applyFont="1" applyBorder="1" applyAlignment="1">
      <alignment horizontal="center" vertical="center" wrapText="1"/>
    </xf>
    <xf numFmtId="4" fontId="39" fillId="0" borderId="35" xfId="773" applyNumberFormat="1" applyFont="1" applyBorder="1" applyAlignment="1">
      <alignment horizontal="center" vertical="center" wrapText="1"/>
    </xf>
    <xf numFmtId="0" fontId="62" fillId="3" borderId="0" xfId="709" applyFont="1" applyFill="1"/>
    <xf numFmtId="0" fontId="39" fillId="4" borderId="68" xfId="709" applyFont="1" applyFill="1" applyBorder="1" applyAlignment="1">
      <alignment horizontal="center" vertical="center" wrapText="1"/>
    </xf>
    <xf numFmtId="4" fontId="39" fillId="0" borderId="73" xfId="773" applyNumberFormat="1" applyFont="1" applyBorder="1" applyAlignment="1">
      <alignment horizontal="center" vertical="center" wrapText="1"/>
    </xf>
    <xf numFmtId="4" fontId="39" fillId="0" borderId="45" xfId="709" applyNumberFormat="1" applyFont="1" applyBorder="1" applyAlignment="1">
      <alignment horizontal="center" vertical="center" wrapText="1"/>
    </xf>
    <xf numFmtId="4" fontId="39" fillId="0" borderId="80" xfId="773" applyNumberFormat="1" applyFont="1" applyBorder="1" applyAlignment="1">
      <alignment horizontal="center" vertical="center" wrapText="1"/>
    </xf>
    <xf numFmtId="4" fontId="39" fillId="0" borderId="30" xfId="773" applyNumberFormat="1" applyFont="1" applyBorder="1" applyAlignment="1">
      <alignment horizontal="center" vertical="center" wrapText="1"/>
    </xf>
    <xf numFmtId="4" fontId="39" fillId="0" borderId="36" xfId="773" applyNumberFormat="1" applyFont="1" applyBorder="1" applyAlignment="1">
      <alignment horizontal="center" vertical="center" wrapText="1"/>
    </xf>
    <xf numFmtId="4" fontId="39" fillId="0" borderId="62" xfId="709" applyNumberFormat="1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16" fillId="4" borderId="1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39" fillId="3" borderId="0" xfId="709" applyFont="1" applyFill="1" applyBorder="1" applyAlignment="1">
      <alignment horizontal="center" vertical="top" wrapText="1"/>
    </xf>
    <xf numFmtId="0" fontId="39" fillId="3" borderId="0" xfId="709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  <xf numFmtId="0" fontId="12" fillId="4" borderId="51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2" fillId="4" borderId="53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14" fontId="11" fillId="4" borderId="54" xfId="0" applyNumberFormat="1" applyFont="1" applyFill="1" applyBorder="1" applyAlignment="1">
      <alignment horizontal="center" vertical="center"/>
    </xf>
    <xf numFmtId="164" fontId="12" fillId="3" borderId="43" xfId="80" applyFont="1" applyFill="1" applyBorder="1" applyAlignment="1">
      <alignment horizontal="left" vertical="center"/>
    </xf>
    <xf numFmtId="164" fontId="12" fillId="3" borderId="46" xfId="80" applyFont="1" applyFill="1" applyBorder="1" applyAlignment="1">
      <alignment horizontal="center" vertical="center"/>
    </xf>
    <xf numFmtId="164" fontId="12" fillId="3" borderId="46" xfId="80" applyFont="1" applyFill="1" applyBorder="1" applyAlignment="1">
      <alignment horizontal="left" vertical="center"/>
    </xf>
    <xf numFmtId="164" fontId="12" fillId="3" borderId="49" xfId="80" applyFont="1" applyFill="1" applyBorder="1" applyAlignment="1">
      <alignment horizontal="left" vertical="center"/>
    </xf>
    <xf numFmtId="164" fontId="12" fillId="3" borderId="68" xfId="8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164" fontId="12" fillId="4" borderId="41" xfId="80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center" vertical="center"/>
    </xf>
    <xf numFmtId="14" fontId="11" fillId="4" borderId="41" xfId="0" applyNumberFormat="1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164" fontId="12" fillId="3" borderId="43" xfId="80" applyFont="1" applyFill="1" applyBorder="1" applyAlignment="1">
      <alignment horizontal="center" vertical="center"/>
    </xf>
    <xf numFmtId="0" fontId="39" fillId="3" borderId="52" xfId="709" applyFont="1" applyFill="1" applyBorder="1" applyAlignment="1">
      <alignment horizontal="center" vertical="top" wrapText="1"/>
    </xf>
    <xf numFmtId="0" fontId="39" fillId="3" borderId="52" xfId="709" applyFont="1" applyFill="1" applyBorder="1" applyAlignment="1">
      <alignment horizontal="center" vertical="center" wrapText="1"/>
    </xf>
    <xf numFmtId="0" fontId="0" fillId="0" borderId="0" xfId="0" applyFont="1"/>
    <xf numFmtId="0" fontId="42" fillId="3" borderId="0" xfId="709" applyFont="1" applyFill="1" applyBorder="1"/>
    <xf numFmtId="0" fontId="39" fillId="4" borderId="34" xfId="709" applyFont="1" applyFill="1" applyBorder="1" applyAlignment="1">
      <alignment horizontal="left" vertical="top" wrapText="1"/>
    </xf>
    <xf numFmtId="10" fontId="38" fillId="3" borderId="0" xfId="774" applyNumberFormat="1" applyFont="1" applyFill="1" applyBorder="1" applyAlignment="1">
      <alignment horizontal="center" vertical="top"/>
    </xf>
    <xf numFmtId="0" fontId="39" fillId="4" borderId="34" xfId="709" applyFont="1" applyFill="1" applyBorder="1" applyAlignment="1">
      <alignment horizontal="left" vertical="center" wrapText="1"/>
    </xf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0" fontId="39" fillId="4" borderId="21" xfId="709" applyFont="1" applyFill="1" applyBorder="1" applyAlignment="1">
      <alignment horizontal="left" vertical="center" wrapText="1"/>
    </xf>
    <xf numFmtId="0" fontId="39" fillId="4" borderId="62" xfId="709" applyFont="1" applyFill="1" applyBorder="1" applyAlignment="1">
      <alignment horizontal="left" vertical="top" wrapText="1"/>
    </xf>
    <xf numFmtId="0" fontId="39" fillId="4" borderId="50" xfId="709" applyFont="1" applyFill="1" applyBorder="1" applyAlignment="1">
      <alignment horizontal="left" vertical="top" wrapText="1"/>
    </xf>
    <xf numFmtId="4" fontId="39" fillId="3" borderId="22" xfId="773" applyNumberFormat="1" applyFont="1" applyFill="1" applyBorder="1" applyAlignment="1">
      <alignment horizontal="center"/>
    </xf>
    <xf numFmtId="168" fontId="38" fillId="3" borderId="0" xfId="773" applyFont="1" applyFill="1" applyBorder="1" applyAlignment="1">
      <alignment wrapText="1"/>
    </xf>
    <xf numFmtId="0" fontId="36" fillId="3" borderId="0" xfId="0" applyFont="1" applyFill="1" applyBorder="1" applyAlignment="1">
      <alignment horizontal="center" vertical="center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4" fontId="39" fillId="0" borderId="62" xfId="773" applyNumberFormat="1" applyFont="1" applyBorder="1" applyAlignment="1">
      <alignment horizontal="center" wrapText="1"/>
    </xf>
    <xf numFmtId="4" fontId="39" fillId="0" borderId="62" xfId="709" applyNumberFormat="1" applyFont="1" applyBorder="1" applyAlignment="1">
      <alignment horizontal="center" wrapText="1"/>
    </xf>
    <xf numFmtId="4" fontId="39" fillId="0" borderId="15" xfId="709" applyNumberFormat="1" applyFont="1" applyBorder="1" applyAlignment="1">
      <alignment horizontal="center" wrapText="1"/>
    </xf>
    <xf numFmtId="4" fontId="39" fillId="0" borderId="49" xfId="773" applyNumberFormat="1" applyFont="1" applyBorder="1" applyAlignment="1">
      <alignment horizontal="center" wrapText="1"/>
    </xf>
    <xf numFmtId="4" fontId="39" fillId="0" borderId="27" xfId="709" applyNumberFormat="1" applyFont="1" applyBorder="1" applyAlignment="1">
      <alignment horizontal="center" wrapText="1"/>
    </xf>
    <xf numFmtId="4" fontId="39" fillId="0" borderId="50" xfId="773" applyNumberFormat="1" applyFont="1" applyBorder="1" applyAlignment="1">
      <alignment horizontal="center" wrapText="1"/>
    </xf>
    <xf numFmtId="4" fontId="39" fillId="0" borderId="36" xfId="709" applyNumberFormat="1" applyFont="1" applyBorder="1" applyAlignment="1">
      <alignment horizontal="center" wrapText="1"/>
    </xf>
    <xf numFmtId="4" fontId="39" fillId="0" borderId="46" xfId="773" applyNumberFormat="1" applyFont="1" applyBorder="1" applyAlignment="1">
      <alignment horizontal="center" wrapText="1"/>
    </xf>
    <xf numFmtId="4" fontId="39" fillId="0" borderId="46" xfId="709" applyNumberFormat="1" applyFont="1" applyBorder="1" applyAlignment="1">
      <alignment horizontal="center" wrapText="1"/>
    </xf>
    <xf numFmtId="0" fontId="41" fillId="3" borderId="0" xfId="709" applyFont="1" applyFill="1" applyBorder="1" applyAlignment="1">
      <alignment horizontal="left" vertical="top" wrapText="1"/>
    </xf>
    <xf numFmtId="168" fontId="39" fillId="0" borderId="0" xfId="773" applyFont="1" applyBorder="1" applyAlignment="1">
      <alignment wrapText="1"/>
    </xf>
    <xf numFmtId="4" fontId="39" fillId="0" borderId="0" xfId="709" applyNumberFormat="1" applyFont="1" applyBorder="1" applyAlignment="1">
      <alignment wrapText="1"/>
    </xf>
    <xf numFmtId="2" fontId="39" fillId="0" borderId="0" xfId="709" applyNumberFormat="1" applyFont="1" applyBorder="1" applyAlignment="1">
      <alignment wrapText="1"/>
    </xf>
    <xf numFmtId="0" fontId="47" fillId="0" borderId="0" xfId="709" applyFont="1" applyBorder="1" applyAlignment="1"/>
    <xf numFmtId="4" fontId="39" fillId="3" borderId="43" xfId="773" applyNumberFormat="1" applyFont="1" applyFill="1" applyBorder="1" applyAlignment="1">
      <alignment horizontal="center" vertical="center" wrapText="1"/>
    </xf>
    <xf numFmtId="0" fontId="41" fillId="3" borderId="0" xfId="709" applyFont="1" applyFill="1" applyBorder="1" applyAlignment="1">
      <alignment horizontal="left"/>
    </xf>
    <xf numFmtId="0" fontId="41" fillId="3" borderId="0" xfId="709" applyFont="1" applyFill="1" applyBorder="1"/>
    <xf numFmtId="170" fontId="39" fillId="3" borderId="0" xfId="775" applyNumberFormat="1" applyFont="1" applyFill="1" applyBorder="1" applyAlignment="1"/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39" fillId="3" borderId="0" xfId="709" applyFont="1" applyFill="1" applyBorder="1" applyAlignment="1">
      <alignment horizontal="center"/>
    </xf>
    <xf numFmtId="4" fontId="39" fillId="3" borderId="0" xfId="709" applyNumberFormat="1" applyFont="1" applyFill="1" applyBorder="1" applyAlignment="1">
      <alignment horizontal="center"/>
    </xf>
    <xf numFmtId="14" fontId="41" fillId="4" borderId="57" xfId="0" applyNumberFormat="1" applyFont="1" applyFill="1" applyBorder="1" applyAlignment="1">
      <alignment horizontal="center"/>
    </xf>
    <xf numFmtId="14" fontId="41" fillId="4" borderId="61" xfId="0" applyNumberFormat="1" applyFont="1" applyFill="1" applyBorder="1" applyAlignment="1">
      <alignment horizontal="center"/>
    </xf>
    <xf numFmtId="0" fontId="88" fillId="4" borderId="46" xfId="709" applyFont="1" applyFill="1" applyBorder="1" applyAlignment="1">
      <alignment horizontal="left" vertical="top" wrapText="1"/>
    </xf>
    <xf numFmtId="0" fontId="88" fillId="4" borderId="62" xfId="709" applyFont="1" applyFill="1" applyBorder="1" applyAlignment="1">
      <alignment horizontal="left" vertical="top" wrapText="1"/>
    </xf>
    <xf numFmtId="0" fontId="17" fillId="0" borderId="0" xfId="0" applyFont="1" applyBorder="1" applyAlignment="1"/>
    <xf numFmtId="0" fontId="16" fillId="0" borderId="0" xfId="0" applyFont="1" applyBorder="1" applyAlignment="1"/>
    <xf numFmtId="0" fontId="0" fillId="0" borderId="0" xfId="0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4" fontId="14" fillId="0" borderId="6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78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2" fontId="14" fillId="0" borderId="27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0" fontId="14" fillId="3" borderId="47" xfId="0" applyFont="1" applyFill="1" applyBorder="1" applyAlignment="1">
      <alignment horizontal="left" wrapText="1" shrinkToFit="1"/>
    </xf>
    <xf numFmtId="0" fontId="38" fillId="3" borderId="47" xfId="709" applyFont="1" applyFill="1" applyBorder="1" applyAlignment="1"/>
    <xf numFmtId="0" fontId="38" fillId="3" borderId="48" xfId="709" applyFont="1" applyFill="1" applyBorder="1" applyAlignment="1"/>
    <xf numFmtId="4" fontId="14" fillId="0" borderId="25" xfId="0" applyNumberFormat="1" applyFont="1" applyBorder="1" applyAlignment="1">
      <alignment horizontal="center"/>
    </xf>
    <xf numFmtId="164" fontId="14" fillId="0" borderId="4" xfId="80" quotePrefix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164" fontId="14" fillId="0" borderId="7" xfId="80" quotePrefix="1" applyFont="1" applyBorder="1" applyAlignment="1">
      <alignment horizontal="center" vertical="center"/>
    </xf>
    <xf numFmtId="164" fontId="14" fillId="0" borderId="9" xfId="80" quotePrefix="1" applyFont="1" applyBorder="1" applyAlignment="1">
      <alignment horizontal="center" vertical="center"/>
    </xf>
    <xf numFmtId="4" fontId="14" fillId="0" borderId="4" xfId="0" applyNumberFormat="1" applyFont="1" applyBorder="1"/>
    <xf numFmtId="4" fontId="14" fillId="0" borderId="5" xfId="0" applyNumberFormat="1" applyFont="1" applyBorder="1"/>
    <xf numFmtId="4" fontId="14" fillId="0" borderId="7" xfId="0" applyNumberFormat="1" applyFont="1" applyBorder="1"/>
    <xf numFmtId="4" fontId="14" fillId="0" borderId="9" xfId="0" applyNumberFormat="1" applyFont="1" applyBorder="1"/>
    <xf numFmtId="4" fontId="14" fillId="0" borderId="77" xfId="0" applyNumberFormat="1" applyFont="1" applyBorder="1"/>
    <xf numFmtId="4" fontId="14" fillId="0" borderId="4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4" fontId="14" fillId="0" borderId="77" xfId="0" applyNumberFormat="1" applyFont="1" applyBorder="1" applyAlignment="1">
      <alignment vertical="center"/>
    </xf>
    <xf numFmtId="164" fontId="12" fillId="0" borderId="11" xfId="80" applyFont="1" applyBorder="1" applyAlignment="1">
      <alignment horizontal="center"/>
    </xf>
    <xf numFmtId="2" fontId="12" fillId="0" borderId="62" xfId="0" applyNumberFormat="1" applyFont="1" applyBorder="1" applyAlignment="1">
      <alignment horizontal="center"/>
    </xf>
    <xf numFmtId="2" fontId="12" fillId="0" borderId="46" xfId="0" applyNumberFormat="1" applyFont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4" fontId="39" fillId="4" borderId="46" xfId="773" applyNumberFormat="1" applyFont="1" applyFill="1" applyBorder="1" applyAlignment="1">
      <alignment horizontal="center" vertical="center" wrapText="1"/>
    </xf>
    <xf numFmtId="4" fontId="39" fillId="4" borderId="43" xfId="773" applyNumberFormat="1" applyFont="1" applyFill="1" applyBorder="1" applyAlignment="1">
      <alignment horizontal="center" vertical="center" wrapText="1"/>
    </xf>
    <xf numFmtId="4" fontId="39" fillId="4" borderId="22" xfId="773" applyNumberFormat="1" applyFont="1" applyFill="1" applyBorder="1" applyAlignment="1">
      <alignment horizontal="center"/>
    </xf>
    <xf numFmtId="4" fontId="39" fillId="4" borderId="43" xfId="773" applyNumberFormat="1" applyFont="1" applyFill="1" applyBorder="1" applyAlignment="1">
      <alignment horizontal="center" wrapText="1"/>
    </xf>
    <xf numFmtId="4" fontId="39" fillId="4" borderId="46" xfId="0" applyNumberFormat="1" applyFont="1" applyFill="1" applyBorder="1" applyAlignment="1">
      <alignment horizontal="center"/>
    </xf>
    <xf numFmtId="4" fontId="39" fillId="4" borderId="49" xfId="0" applyNumberFormat="1" applyFont="1" applyFill="1" applyBorder="1" applyAlignment="1">
      <alignment horizontal="center"/>
    </xf>
    <xf numFmtId="4" fontId="39" fillId="4" borderId="50" xfId="0" applyNumberFormat="1" applyFont="1" applyFill="1" applyBorder="1" applyAlignment="1">
      <alignment horizontal="center"/>
    </xf>
    <xf numFmtId="2" fontId="39" fillId="4" borderId="46" xfId="0" applyNumberFormat="1" applyFont="1" applyFill="1" applyBorder="1" applyAlignment="1">
      <alignment horizontal="center"/>
    </xf>
    <xf numFmtId="2" fontId="39" fillId="4" borderId="49" xfId="0" applyNumberFormat="1" applyFont="1" applyFill="1" applyBorder="1" applyAlignment="1">
      <alignment horizontal="center"/>
    </xf>
    <xf numFmtId="2" fontId="39" fillId="4" borderId="50" xfId="0" applyNumberFormat="1" applyFont="1" applyFill="1" applyBorder="1" applyAlignment="1">
      <alignment horizontal="center"/>
    </xf>
    <xf numFmtId="4" fontId="39" fillId="4" borderId="62" xfId="773" applyNumberFormat="1" applyFont="1" applyFill="1" applyBorder="1" applyAlignment="1">
      <alignment horizontal="center" wrapText="1"/>
    </xf>
    <xf numFmtId="4" fontId="39" fillId="4" borderId="49" xfId="773" applyNumberFormat="1" applyFont="1" applyFill="1" applyBorder="1" applyAlignment="1">
      <alignment horizontal="center" wrapText="1"/>
    </xf>
    <xf numFmtId="4" fontId="39" fillId="4" borderId="50" xfId="773" applyNumberFormat="1" applyFont="1" applyFill="1" applyBorder="1" applyAlignment="1">
      <alignment horizontal="center" wrapText="1"/>
    </xf>
    <xf numFmtId="4" fontId="39" fillId="4" borderId="62" xfId="709" applyNumberFormat="1" applyFont="1" applyFill="1" applyBorder="1" applyAlignment="1">
      <alignment horizontal="center" wrapText="1"/>
    </xf>
    <xf numFmtId="4" fontId="39" fillId="4" borderId="14" xfId="773" applyNumberFormat="1" applyFont="1" applyFill="1" applyBorder="1" applyAlignment="1">
      <alignment horizontal="center" wrapText="1"/>
    </xf>
    <xf numFmtId="4" fontId="39" fillId="4" borderId="49" xfId="709" applyNumberFormat="1" applyFont="1" applyFill="1" applyBorder="1" applyAlignment="1">
      <alignment horizontal="center" wrapText="1"/>
    </xf>
    <xf numFmtId="4" fontId="39" fillId="4" borderId="47" xfId="773" applyNumberFormat="1" applyFont="1" applyFill="1" applyBorder="1" applyAlignment="1">
      <alignment horizontal="center" wrapText="1"/>
    </xf>
    <xf numFmtId="4" fontId="39" fillId="4" borderId="50" xfId="709" applyNumberFormat="1" applyFont="1" applyFill="1" applyBorder="1" applyAlignment="1">
      <alignment horizontal="center" wrapText="1"/>
    </xf>
    <xf numFmtId="4" fontId="39" fillId="4" borderId="48" xfId="773" applyNumberFormat="1" applyFont="1" applyFill="1" applyBorder="1" applyAlignment="1">
      <alignment horizontal="center" wrapText="1"/>
    </xf>
    <xf numFmtId="4" fontId="39" fillId="4" borderId="15" xfId="709" applyNumberFormat="1" applyFont="1" applyFill="1" applyBorder="1" applyAlignment="1">
      <alignment horizontal="center" wrapText="1"/>
    </xf>
    <xf numFmtId="4" fontId="39" fillId="4" borderId="27" xfId="709" applyNumberFormat="1" applyFont="1" applyFill="1" applyBorder="1" applyAlignment="1">
      <alignment horizontal="center" wrapText="1"/>
    </xf>
    <xf numFmtId="4" fontId="39" fillId="4" borderId="36" xfId="709" applyNumberFormat="1" applyFont="1" applyFill="1" applyBorder="1" applyAlignment="1">
      <alignment horizontal="center" wrapText="1"/>
    </xf>
    <xf numFmtId="4" fontId="39" fillId="4" borderId="46" xfId="773" applyNumberFormat="1" applyFont="1" applyFill="1" applyBorder="1" applyAlignment="1">
      <alignment horizontal="center" wrapText="1"/>
    </xf>
    <xf numFmtId="4" fontId="39" fillId="4" borderId="46" xfId="709" applyNumberFormat="1" applyFont="1" applyFill="1" applyBorder="1" applyAlignment="1">
      <alignment horizontal="center" wrapText="1"/>
    </xf>
    <xf numFmtId="4" fontId="39" fillId="4" borderId="24" xfId="773" applyNumberFormat="1" applyFont="1" applyFill="1" applyBorder="1" applyAlignment="1">
      <alignment horizontal="center" vertical="center" wrapText="1"/>
    </xf>
    <xf numFmtId="4" fontId="39" fillId="4" borderId="22" xfId="773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51" fillId="0" borderId="0" xfId="709" applyFont="1" applyAlignment="1">
      <alignment horizontal="center" wrapText="1"/>
    </xf>
    <xf numFmtId="0" fontId="48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0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4" fillId="4" borderId="67" xfId="709" applyFont="1" applyFill="1" applyBorder="1" applyAlignment="1">
      <alignment horizontal="center"/>
    </xf>
    <xf numFmtId="0" fontId="54" fillId="4" borderId="52" xfId="709" applyFont="1" applyFill="1" applyBorder="1" applyAlignment="1">
      <alignment horizontal="center"/>
    </xf>
    <xf numFmtId="0" fontId="54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47" fillId="4" borderId="71" xfId="709" applyFont="1" applyFill="1" applyBorder="1" applyAlignment="1">
      <alignment horizontal="center" wrapText="1"/>
    </xf>
    <xf numFmtId="0" fontId="47" fillId="4" borderId="23" xfId="709" applyFont="1" applyFill="1" applyBorder="1" applyAlignment="1">
      <alignment horizontal="center" wrapText="1"/>
    </xf>
    <xf numFmtId="0" fontId="47" fillId="4" borderId="17" xfId="709" applyFont="1" applyFill="1" applyBorder="1" applyAlignment="1">
      <alignment horizontal="center" wrapText="1"/>
    </xf>
    <xf numFmtId="0" fontId="47" fillId="4" borderId="40" xfId="709" applyFont="1" applyFill="1" applyBorder="1" applyAlignment="1">
      <alignment horizontal="center" wrapText="1"/>
    </xf>
    <xf numFmtId="0" fontId="47" fillId="4" borderId="2" xfId="709" applyFont="1" applyFill="1" applyBorder="1" applyAlignment="1">
      <alignment horizontal="center" wrapText="1"/>
    </xf>
    <xf numFmtId="0" fontId="47" fillId="4" borderId="45" xfId="709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0" fillId="2" borderId="5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6" fillId="4" borderId="52" xfId="0" applyFont="1" applyFill="1" applyBorder="1" applyAlignment="1">
      <alignment horizontal="center"/>
    </xf>
    <xf numFmtId="0" fontId="56" fillId="4" borderId="53" xfId="0" applyFont="1" applyFill="1" applyBorder="1" applyAlignment="1">
      <alignment horizontal="center"/>
    </xf>
    <xf numFmtId="0" fontId="59" fillId="4" borderId="42" xfId="0" applyFont="1" applyFill="1" applyBorder="1" applyAlignment="1">
      <alignment horizontal="center" vertical="center" wrapText="1"/>
    </xf>
    <xf numFmtId="0" fontId="59" fillId="4" borderId="54" xfId="0" applyFont="1" applyFill="1" applyBorder="1" applyAlignment="1">
      <alignment horizontal="center" vertical="center" wrapText="1"/>
    </xf>
    <xf numFmtId="0" fontId="59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6" fillId="4" borderId="23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56" fillId="4" borderId="24" xfId="0" applyFont="1" applyFill="1" applyBorder="1" applyAlignment="1">
      <alignment horizontal="center" vertical="center"/>
    </xf>
    <xf numFmtId="0" fontId="5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57" fillId="0" borderId="75" xfId="0" applyFont="1" applyBorder="1" applyAlignment="1">
      <alignment horizontal="center" wrapText="1"/>
    </xf>
    <xf numFmtId="0" fontId="58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0" fontId="13" fillId="4" borderId="20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56" xfId="0" applyNumberFormat="1" applyFont="1" applyBorder="1" applyAlignment="1">
      <alignment horizont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3" fillId="4" borderId="42" xfId="0" applyFont="1" applyFill="1" applyBorder="1" applyAlignment="1">
      <alignment horizontal="center" vertical="center" wrapText="1"/>
    </xf>
    <xf numFmtId="14" fontId="33" fillId="6" borderId="61" xfId="0" applyNumberFormat="1" applyFont="1" applyFill="1" applyBorder="1" applyAlignment="1">
      <alignment horizontal="center" vertical="center"/>
    </xf>
    <xf numFmtId="14" fontId="33" fillId="6" borderId="66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2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50" fillId="8" borderId="21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2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1" fillId="4" borderId="19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20" xfId="0" applyFont="1" applyFill="1" applyBorder="1" applyAlignment="1">
      <alignment horizontal="center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3" fillId="6" borderId="53" xfId="0" applyNumberFormat="1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14" fontId="33" fillId="6" borderId="51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34" xfId="0" applyNumberFormat="1" applyFont="1" applyBorder="1" applyAlignment="1">
      <alignment horizont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56" xfId="0" applyNumberFormat="1" applyFont="1" applyFill="1" applyBorder="1" applyAlignment="1">
      <alignment horizontal="center"/>
    </xf>
    <xf numFmtId="3" fontId="14" fillId="3" borderId="36" xfId="0" applyNumberFormat="1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23" fillId="4" borderId="21" xfId="0" applyFont="1" applyFill="1" applyBorder="1" applyAlignment="1">
      <alignment horizontal="center" wrapText="1"/>
    </xf>
    <xf numFmtId="0" fontId="23" fillId="4" borderId="24" xfId="0" applyFont="1" applyFill="1" applyBorder="1" applyAlignment="1">
      <alignment horizontal="center" wrapText="1"/>
    </xf>
    <xf numFmtId="0" fontId="23" fillId="4" borderId="22" xfId="0" applyFont="1" applyFill="1" applyBorder="1" applyAlignment="1">
      <alignment horizontal="center" wrapText="1"/>
    </xf>
    <xf numFmtId="14" fontId="14" fillId="3" borderId="0" xfId="0" applyNumberFormat="1" applyFont="1" applyFill="1" applyBorder="1" applyAlignment="1">
      <alignment horizontal="center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3" fillId="6" borderId="51" xfId="0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14" fontId="33" fillId="6" borderId="58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52" xfId="0" applyNumberFormat="1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0" fontId="78" fillId="4" borderId="56" xfId="0" applyFont="1" applyFill="1" applyBorder="1" applyAlignment="1">
      <alignment horizontal="center"/>
    </xf>
    <xf numFmtId="0" fontId="78" fillId="4" borderId="48" xfId="0" applyFont="1" applyFill="1" applyBorder="1" applyAlignment="1">
      <alignment horizontal="center"/>
    </xf>
    <xf numFmtId="0" fontId="78" fillId="4" borderId="36" xfId="0" applyFont="1" applyFill="1" applyBorder="1" applyAlignment="1">
      <alignment horizontal="center"/>
    </xf>
    <xf numFmtId="0" fontId="78" fillId="4" borderId="42" xfId="0" applyFont="1" applyFill="1" applyBorder="1" applyAlignment="1">
      <alignment horizontal="center" vertical="center" wrapText="1"/>
    </xf>
    <xf numFmtId="0" fontId="78" fillId="4" borderId="46" xfId="0" applyFont="1" applyFill="1" applyBorder="1" applyAlignment="1">
      <alignment horizontal="center" vertical="center" wrapText="1"/>
    </xf>
    <xf numFmtId="0" fontId="78" fillId="4" borderId="72" xfId="0" applyFont="1" applyFill="1" applyBorder="1" applyAlignment="1">
      <alignment horizontal="center" vertical="center" wrapText="1"/>
    </xf>
    <xf numFmtId="0" fontId="78" fillId="4" borderId="33" xfId="0" applyFont="1" applyFill="1" applyBorder="1" applyAlignment="1">
      <alignment horizontal="center" vertical="center" wrapText="1"/>
    </xf>
    <xf numFmtId="0" fontId="78" fillId="4" borderId="63" xfId="0" applyFont="1" applyFill="1" applyBorder="1" applyAlignment="1">
      <alignment horizontal="center" vertical="center" wrapText="1"/>
    </xf>
    <xf numFmtId="0" fontId="78" fillId="4" borderId="39" xfId="0" applyFont="1" applyFill="1" applyBorder="1" applyAlignment="1">
      <alignment horizontal="center" vertical="center" wrapText="1"/>
    </xf>
    <xf numFmtId="0" fontId="79" fillId="8" borderId="63" xfId="0" applyFont="1" applyFill="1" applyBorder="1" applyAlignment="1">
      <alignment horizontal="center" vertical="center" wrapText="1"/>
    </xf>
    <xf numFmtId="0" fontId="79" fillId="8" borderId="39" xfId="0" applyFont="1" applyFill="1" applyBorder="1" applyAlignment="1">
      <alignment horizontal="center" vertical="center" wrapText="1"/>
    </xf>
    <xf numFmtId="0" fontId="79" fillId="8" borderId="5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vertical="center" wrapText="1"/>
    </xf>
    <xf numFmtId="4" fontId="78" fillId="0" borderId="65" xfId="0" applyNumberFormat="1" applyFont="1" applyBorder="1" applyAlignment="1">
      <alignment horizontal="center"/>
    </xf>
    <xf numFmtId="4" fontId="78" fillId="0" borderId="66" xfId="0" applyNumberFormat="1" applyFont="1" applyBorder="1" applyAlignment="1">
      <alignment horizontal="center"/>
    </xf>
    <xf numFmtId="4" fontId="78" fillId="0" borderId="57" xfId="0" applyNumberFormat="1" applyFont="1" applyBorder="1" applyAlignment="1">
      <alignment horizontal="center"/>
    </xf>
    <xf numFmtId="0" fontId="74" fillId="4" borderId="13" xfId="0" applyFont="1" applyFill="1" applyBorder="1" applyAlignment="1">
      <alignment horizontal="center"/>
    </xf>
    <xf numFmtId="0" fontId="74" fillId="4" borderId="14" xfId="0" applyFont="1" applyFill="1" applyBorder="1" applyAlignment="1">
      <alignment horizontal="center"/>
    </xf>
    <xf numFmtId="0" fontId="74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70" fillId="8" borderId="16" xfId="0" applyFont="1" applyFill="1" applyBorder="1" applyAlignment="1">
      <alignment horizontal="center" vertical="center" wrapText="1"/>
    </xf>
    <xf numFmtId="0" fontId="70" fillId="8" borderId="23" xfId="0" applyFont="1" applyFill="1" applyBorder="1" applyAlignment="1">
      <alignment horizontal="center" vertical="center" wrapText="1"/>
    </xf>
    <xf numFmtId="0" fontId="70" fillId="8" borderId="72" xfId="0" applyFont="1" applyFill="1" applyBorder="1" applyAlignment="1">
      <alignment horizontal="center" vertical="center" wrapText="1"/>
    </xf>
    <xf numFmtId="0" fontId="70" fillId="8" borderId="19" xfId="0" applyFont="1" applyFill="1" applyBorder="1" applyAlignment="1">
      <alignment horizontal="center" vertical="center" wrapText="1"/>
    </xf>
    <xf numFmtId="0" fontId="70" fillId="8" borderId="0" xfId="0" applyFont="1" applyFill="1" applyBorder="1" applyAlignment="1">
      <alignment horizontal="center" vertical="center" wrapText="1"/>
    </xf>
    <xf numFmtId="0" fontId="70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78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74" fillId="4" borderId="51" xfId="0" applyFont="1" applyFill="1" applyBorder="1" applyAlignment="1">
      <alignment horizontal="center"/>
    </xf>
    <xf numFmtId="0" fontId="74" fillId="4" borderId="52" xfId="0" applyFont="1" applyFill="1" applyBorder="1" applyAlignment="1">
      <alignment horizontal="center"/>
    </xf>
    <xf numFmtId="0" fontId="74" fillId="4" borderId="53" xfId="0" applyFont="1" applyFill="1" applyBorder="1" applyAlignment="1">
      <alignment horizontal="center"/>
    </xf>
    <xf numFmtId="0" fontId="78" fillId="4" borderId="5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25" xfId="0" applyFont="1" applyFill="1" applyBorder="1" applyAlignment="1">
      <alignment horizontal="center" vertical="center" wrapText="1"/>
    </xf>
    <xf numFmtId="0" fontId="78" fillId="4" borderId="12" xfId="0" applyFont="1" applyFill="1" applyBorder="1" applyAlignment="1">
      <alignment horizontal="center" vertical="center" wrapText="1"/>
    </xf>
    <xf numFmtId="0" fontId="74" fillId="4" borderId="65" xfId="0" applyFont="1" applyFill="1" applyBorder="1" applyAlignment="1">
      <alignment horizontal="center"/>
    </xf>
    <xf numFmtId="0" fontId="74" fillId="4" borderId="66" xfId="0" applyFont="1" applyFill="1" applyBorder="1" applyAlignment="1">
      <alignment horizontal="center"/>
    </xf>
    <xf numFmtId="0" fontId="74" fillId="4" borderId="57" xfId="0" applyFont="1" applyFill="1" applyBorder="1" applyAlignment="1">
      <alignment horizontal="center"/>
    </xf>
    <xf numFmtId="0" fontId="78" fillId="4" borderId="4" xfId="0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center" wrapText="1"/>
    </xf>
    <xf numFmtId="0" fontId="75" fillId="4" borderId="9" xfId="0" applyFont="1" applyFill="1" applyBorder="1" applyAlignment="1">
      <alignment horizontal="center" vertical="center" wrapText="1"/>
    </xf>
    <xf numFmtId="0" fontId="75" fillId="4" borderId="10" xfId="0" applyFont="1" applyFill="1" applyBorder="1" applyAlignment="1">
      <alignment horizontal="center" vertical="center" wrapText="1"/>
    </xf>
    <xf numFmtId="4" fontId="78" fillId="3" borderId="2" xfId="0" applyNumberFormat="1" applyFont="1" applyFill="1" applyBorder="1" applyAlignment="1">
      <alignment horizontal="center"/>
    </xf>
    <xf numFmtId="4" fontId="78" fillId="3" borderId="33" xfId="0" applyNumberFormat="1" applyFont="1" applyFill="1" applyBorder="1" applyAlignment="1">
      <alignment horizontal="center"/>
    </xf>
    <xf numFmtId="0" fontId="83" fillId="4" borderId="51" xfId="0" applyFont="1" applyFill="1" applyBorder="1" applyAlignment="1" applyProtection="1">
      <alignment horizontal="center" vertical="center"/>
      <protection locked="0"/>
    </xf>
    <xf numFmtId="0" fontId="83" fillId="4" borderId="52" xfId="0" applyFont="1" applyFill="1" applyBorder="1" applyAlignment="1" applyProtection="1">
      <alignment horizontal="center" vertical="center"/>
      <protection locked="0"/>
    </xf>
    <xf numFmtId="0" fontId="83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78" fillId="0" borderId="33" xfId="0" applyNumberFormat="1" applyFont="1" applyBorder="1" applyAlignment="1">
      <alignment horizontal="center"/>
    </xf>
    <xf numFmtId="4" fontId="78" fillId="0" borderId="37" xfId="0" applyNumberFormat="1" applyFont="1" applyBorder="1" applyAlignment="1">
      <alignment horizontal="center"/>
    </xf>
    <xf numFmtId="4" fontId="78" fillId="4" borderId="32" xfId="0" applyNumberFormat="1" applyFont="1" applyFill="1" applyBorder="1" applyAlignment="1">
      <alignment horizontal="center"/>
    </xf>
    <xf numFmtId="4" fontId="78" fillId="4" borderId="78" xfId="0" applyNumberFormat="1" applyFont="1" applyFill="1" applyBorder="1" applyAlignment="1">
      <alignment horizontal="center"/>
    </xf>
    <xf numFmtId="4" fontId="78" fillId="4" borderId="55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84" fillId="0" borderId="0" xfId="0" applyFont="1" applyBorder="1" applyAlignment="1">
      <alignment horizontal="left" vertical="center"/>
    </xf>
    <xf numFmtId="4" fontId="78" fillId="0" borderId="40" xfId="0" applyNumberFormat="1" applyFont="1" applyBorder="1" applyAlignment="1">
      <alignment horizontal="center"/>
    </xf>
    <xf numFmtId="0" fontId="81" fillId="4" borderId="51" xfId="0" applyFont="1" applyFill="1" applyBorder="1" applyAlignment="1">
      <alignment horizontal="center" vertical="center"/>
    </xf>
    <xf numFmtId="0" fontId="81" fillId="4" borderId="52" xfId="0" applyFont="1" applyFill="1" applyBorder="1" applyAlignment="1">
      <alignment horizontal="center" vertical="center"/>
    </xf>
    <xf numFmtId="0" fontId="81" fillId="4" borderId="53" xfId="0" applyFont="1" applyFill="1" applyBorder="1" applyAlignment="1">
      <alignment horizontal="center" vertical="center"/>
    </xf>
    <xf numFmtId="0" fontId="78" fillId="4" borderId="62" xfId="0" applyFont="1" applyFill="1" applyBorder="1" applyAlignment="1">
      <alignment horizontal="center" vertical="center" wrapText="1"/>
    </xf>
    <xf numFmtId="0" fontId="78" fillId="4" borderId="49" xfId="0" applyFont="1" applyFill="1" applyBorder="1" applyAlignment="1">
      <alignment horizontal="center" vertical="center" wrapText="1"/>
    </xf>
    <xf numFmtId="0" fontId="78" fillId="4" borderId="50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horizontal="center" vertical="center" wrapText="1"/>
    </xf>
    <xf numFmtId="0" fontId="78" fillId="4" borderId="3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78" fillId="0" borderId="3" xfId="0" applyNumberFormat="1" applyFont="1" applyBorder="1" applyAlignment="1">
      <alignment horizontal="center"/>
    </xf>
    <xf numFmtId="4" fontId="78" fillId="0" borderId="8" xfId="0" applyNumberFormat="1" applyFont="1" applyBorder="1" applyAlignment="1">
      <alignment horizontal="center"/>
    </xf>
    <xf numFmtId="4" fontId="78" fillId="0" borderId="18" xfId="0" applyNumberFormat="1" applyFont="1" applyBorder="1" applyAlignment="1">
      <alignment horizontal="center"/>
    </xf>
    <xf numFmtId="4" fontId="78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3" fillId="4" borderId="51" xfId="0" applyFont="1" applyFill="1" applyBorder="1" applyAlignment="1">
      <alignment horizontal="center" vertical="center" wrapText="1"/>
    </xf>
    <xf numFmtId="0" fontId="73" fillId="4" borderId="52" xfId="0" applyFont="1" applyFill="1" applyBorder="1" applyAlignment="1">
      <alignment horizontal="center" vertical="center" wrapText="1"/>
    </xf>
    <xf numFmtId="0" fontId="73" fillId="4" borderId="53" xfId="0" applyFont="1" applyFill="1" applyBorder="1" applyAlignment="1">
      <alignment horizontal="center" vertical="center" wrapText="1"/>
    </xf>
    <xf numFmtId="0" fontId="74" fillId="4" borderId="16" xfId="0" applyFont="1" applyFill="1" applyBorder="1" applyAlignment="1">
      <alignment horizontal="center"/>
    </xf>
    <xf numFmtId="0" fontId="74" fillId="4" borderId="23" xfId="0" applyFont="1" applyFill="1" applyBorder="1" applyAlignment="1">
      <alignment horizontal="center"/>
    </xf>
    <xf numFmtId="0" fontId="74" fillId="4" borderId="17" xfId="0" applyFont="1" applyFill="1" applyBorder="1" applyAlignment="1">
      <alignment horizontal="center"/>
    </xf>
    <xf numFmtId="4" fontId="78" fillId="3" borderId="39" xfId="0" applyNumberFormat="1" applyFont="1" applyFill="1" applyBorder="1" applyAlignment="1">
      <alignment horizontal="center"/>
    </xf>
    <xf numFmtId="0" fontId="75" fillId="4" borderId="42" xfId="0" applyFont="1" applyFill="1" applyBorder="1" applyAlignment="1">
      <alignment horizontal="center" vertical="center" wrapText="1"/>
    </xf>
    <xf numFmtId="0" fontId="75" fillId="4" borderId="54" xfId="0" applyFont="1" applyFill="1" applyBorder="1" applyAlignment="1">
      <alignment horizontal="center" vertical="center" wrapText="1"/>
    </xf>
    <xf numFmtId="0" fontId="75" fillId="4" borderId="43" xfId="0" applyFont="1" applyFill="1" applyBorder="1" applyAlignment="1">
      <alignment horizontal="center" vertical="center" wrapText="1"/>
    </xf>
    <xf numFmtId="0" fontId="75" fillId="4" borderId="16" xfId="0" applyFont="1" applyFill="1" applyBorder="1" applyAlignment="1">
      <alignment horizontal="center" vertical="center" wrapText="1"/>
    </xf>
    <xf numFmtId="0" fontId="75" fillId="4" borderId="23" xfId="0" applyFont="1" applyFill="1" applyBorder="1" applyAlignment="1">
      <alignment horizontal="center" vertical="center" wrapText="1"/>
    </xf>
    <xf numFmtId="0" fontId="75" fillId="4" borderId="72" xfId="0" applyFont="1" applyFill="1" applyBorder="1" applyAlignment="1">
      <alignment horizontal="center" vertical="center" wrapText="1"/>
    </xf>
    <xf numFmtId="14" fontId="76" fillId="6" borderId="28" xfId="0" applyNumberFormat="1" applyFont="1" applyFill="1" applyBorder="1" applyAlignment="1">
      <alignment horizontal="center" vertical="center" wrapText="1"/>
    </xf>
    <xf numFmtId="14" fontId="76" fillId="6" borderId="29" xfId="0" applyNumberFormat="1" applyFont="1" applyFill="1" applyBorder="1" applyAlignment="1">
      <alignment horizontal="center" vertical="center" wrapText="1"/>
    </xf>
    <xf numFmtId="14" fontId="76" fillId="6" borderId="73" xfId="0" applyNumberFormat="1" applyFont="1" applyFill="1" applyBorder="1" applyAlignment="1">
      <alignment horizontal="center" vertical="center" wrapText="1"/>
    </xf>
    <xf numFmtId="14" fontId="76" fillId="6" borderId="34" xfId="0" applyNumberFormat="1" applyFont="1" applyFill="1" applyBorder="1" applyAlignment="1">
      <alignment horizontal="center" vertical="center" wrapText="1"/>
    </xf>
    <xf numFmtId="14" fontId="76" fillId="6" borderId="2" xfId="0" applyNumberFormat="1" applyFont="1" applyFill="1" applyBorder="1" applyAlignment="1">
      <alignment horizontal="center" vertical="center" wrapText="1"/>
    </xf>
    <xf numFmtId="14" fontId="76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4" fontId="78" fillId="3" borderId="48" xfId="0" applyNumberFormat="1" applyFont="1" applyFill="1" applyBorder="1" applyAlignment="1">
      <alignment horizontal="center"/>
    </xf>
    <xf numFmtId="4" fontId="78" fillId="3" borderId="18" xfId="0" applyNumberFormat="1" applyFont="1" applyFill="1" applyBorder="1" applyAlignment="1">
      <alignment horizontal="center"/>
    </xf>
    <xf numFmtId="0" fontId="84" fillId="0" borderId="23" xfId="0" applyFont="1" applyBorder="1" applyAlignment="1">
      <alignment horizontal="left" vertical="top" wrapText="1"/>
    </xf>
    <xf numFmtId="0" fontId="84" fillId="0" borderId="0" xfId="0" applyFont="1" applyBorder="1" applyAlignment="1">
      <alignment horizontal="left" vertical="top" wrapText="1"/>
    </xf>
    <xf numFmtId="0" fontId="84" fillId="0" borderId="24" xfId="0" applyFont="1" applyBorder="1" applyAlignment="1">
      <alignment horizontal="left" vertical="top" wrapText="1"/>
    </xf>
    <xf numFmtId="0" fontId="75" fillId="4" borderId="25" xfId="0" applyFont="1" applyFill="1" applyBorder="1" applyAlignment="1">
      <alignment horizontal="center" vertical="center" wrapText="1"/>
    </xf>
    <xf numFmtId="0" fontId="75" fillId="4" borderId="14" xfId="0" applyFont="1" applyFill="1" applyBorder="1" applyAlignment="1">
      <alignment horizontal="center" vertical="center" wrapText="1"/>
    </xf>
    <xf numFmtId="0" fontId="75" fillId="4" borderId="15" xfId="0" applyFont="1" applyFill="1" applyBorder="1" applyAlignment="1">
      <alignment horizontal="center" vertical="center" wrapText="1"/>
    </xf>
    <xf numFmtId="49" fontId="77" fillId="4" borderId="74" xfId="0" applyNumberFormat="1" applyFont="1" applyFill="1" applyBorder="1" applyAlignment="1">
      <alignment horizontal="center" vertical="center" wrapText="1"/>
    </xf>
    <xf numFmtId="49" fontId="77" fillId="4" borderId="29" xfId="0" applyNumberFormat="1" applyFont="1" applyFill="1" applyBorder="1" applyAlignment="1">
      <alignment horizontal="center" vertical="center" wrapText="1"/>
    </xf>
    <xf numFmtId="49" fontId="77" fillId="4" borderId="30" xfId="0" applyNumberFormat="1" applyFont="1" applyFill="1" applyBorder="1" applyAlignment="1">
      <alignment horizontal="center" vertical="center" wrapText="1"/>
    </xf>
    <xf numFmtId="49" fontId="77" fillId="4" borderId="40" xfId="0" applyNumberFormat="1" applyFont="1" applyFill="1" applyBorder="1" applyAlignment="1">
      <alignment horizontal="center" vertical="center" wrapText="1"/>
    </xf>
    <xf numFmtId="49" fontId="77" fillId="4" borderId="2" xfId="0" applyNumberFormat="1" applyFont="1" applyFill="1" applyBorder="1" applyAlignment="1">
      <alignment horizontal="center" vertical="center" wrapText="1"/>
    </xf>
    <xf numFmtId="49" fontId="77" fillId="4" borderId="45" xfId="0" applyNumberFormat="1" applyFont="1" applyFill="1" applyBorder="1" applyAlignment="1">
      <alignment horizontal="center" vertical="center" wrapText="1"/>
    </xf>
    <xf numFmtId="0" fontId="89" fillId="4" borderId="21" xfId="0" applyFont="1" applyFill="1" applyBorder="1" applyAlignment="1">
      <alignment horizontal="center"/>
    </xf>
    <xf numFmtId="0" fontId="89" fillId="4" borderId="24" xfId="0" applyFont="1" applyFill="1" applyBorder="1" applyAlignment="1">
      <alignment horizontal="center"/>
    </xf>
    <xf numFmtId="0" fontId="89" fillId="4" borderId="0" xfId="0" applyFont="1" applyFill="1" applyBorder="1" applyAlignment="1">
      <alignment horizontal="center"/>
    </xf>
    <xf numFmtId="0" fontId="89" fillId="4" borderId="20" xfId="0" applyFont="1" applyFill="1" applyBorder="1" applyAlignment="1">
      <alignment horizontal="center"/>
    </xf>
    <xf numFmtId="0" fontId="78" fillId="4" borderId="54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75" fillId="4" borderId="19" xfId="0" applyFont="1" applyFill="1" applyBorder="1" applyAlignment="1">
      <alignment horizontal="center"/>
    </xf>
    <xf numFmtId="0" fontId="75" fillId="4" borderId="0" xfId="0" applyFont="1" applyFill="1" applyBorder="1" applyAlignment="1">
      <alignment horizontal="center"/>
    </xf>
    <xf numFmtId="0" fontId="75" fillId="4" borderId="20" xfId="0" applyFont="1" applyFill="1" applyBorder="1" applyAlignment="1">
      <alignment horizontal="center"/>
    </xf>
    <xf numFmtId="4" fontId="78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78" fillId="0" borderId="11" xfId="0" applyNumberFormat="1" applyFont="1" applyBorder="1" applyAlignment="1">
      <alignment horizont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73" fillId="11" borderId="51" xfId="0" applyFont="1" applyFill="1" applyBorder="1" applyAlignment="1" applyProtection="1">
      <alignment horizontal="center" vertical="top" wrapText="1"/>
    </xf>
    <xf numFmtId="0" fontId="73" fillId="11" borderId="52" xfId="0" applyFont="1" applyFill="1" applyBorder="1" applyAlignment="1" applyProtection="1">
      <alignment horizontal="center" vertical="top" wrapText="1"/>
    </xf>
    <xf numFmtId="0" fontId="73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 vertical="center"/>
    </xf>
    <xf numFmtId="4" fontId="14" fillId="0" borderId="55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78" fillId="0" borderId="31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4" fontId="78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78" fillId="0" borderId="39" xfId="0" applyNumberFormat="1" applyFont="1" applyBorder="1" applyAlignment="1" applyProtection="1">
      <alignment horizontal="center"/>
    </xf>
    <xf numFmtId="4" fontId="78" fillId="0" borderId="37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78" fillId="4" borderId="11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75" xfId="0" applyFont="1" applyFill="1" applyBorder="1" applyAlignment="1">
      <alignment horizontal="center" vertical="center" wrapText="1"/>
    </xf>
    <xf numFmtId="0" fontId="78" fillId="4" borderId="76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/>
    </xf>
    <xf numFmtId="4" fontId="14" fillId="0" borderId="39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63" fillId="4" borderId="21" xfId="709" applyFont="1" applyFill="1" applyBorder="1" applyAlignment="1">
      <alignment horizontal="center" vertical="center" wrapText="1"/>
    </xf>
    <xf numFmtId="0" fontId="63" fillId="4" borderId="24" xfId="709" applyFont="1" applyFill="1" applyBorder="1" applyAlignment="1">
      <alignment horizontal="center" vertical="center" wrapText="1"/>
    </xf>
    <xf numFmtId="0" fontId="63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2" fillId="4" borderId="51" xfId="709" applyFont="1" applyFill="1" applyBorder="1" applyAlignment="1">
      <alignment horizontal="center" vertical="center"/>
    </xf>
    <xf numFmtId="0" fontId="62" fillId="4" borderId="52" xfId="709" applyFont="1" applyFill="1" applyBorder="1" applyAlignment="1">
      <alignment horizontal="center" vertical="center"/>
    </xf>
    <xf numFmtId="0" fontId="62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4" fillId="4" borderId="51" xfId="709" applyFont="1" applyFill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7" fillId="4" borderId="2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19" xfId="0" applyFont="1" applyFill="1" applyBorder="1" applyAlignment="1">
      <alignment horizontal="left" wrapText="1" shrinkToFit="1"/>
    </xf>
    <xf numFmtId="0" fontId="16" fillId="4" borderId="20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62" fillId="4" borderId="44" xfId="709" applyFont="1" applyFill="1" applyBorder="1" applyAlignment="1">
      <alignment horizontal="left"/>
    </xf>
    <xf numFmtId="0" fontId="62" fillId="4" borderId="47" xfId="709" applyFont="1" applyFill="1" applyBorder="1" applyAlignment="1">
      <alignment horizontal="left"/>
    </xf>
    <xf numFmtId="0" fontId="62" fillId="4" borderId="56" xfId="709" applyFont="1" applyFill="1" applyBorder="1" applyAlignment="1">
      <alignment horizontal="left"/>
    </xf>
    <xf numFmtId="0" fontId="62" fillId="4" borderId="48" xfId="709" applyFont="1" applyFill="1" applyBorder="1" applyAlignment="1">
      <alignment horizontal="left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5" fillId="0" borderId="0" xfId="709" applyFont="1" applyAlignment="1">
      <alignment horizontal="center"/>
    </xf>
    <xf numFmtId="0" fontId="46" fillId="0" borderId="0" xfId="709" applyFont="1" applyAlignment="1">
      <alignment horizontal="center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47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7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4" fillId="3" borderId="61" xfId="0" applyFont="1" applyFill="1" applyBorder="1" applyAlignment="1">
      <alignment horizontal="left" vertical="center" wrapText="1"/>
    </xf>
    <xf numFmtId="0" fontId="40" fillId="0" borderId="0" xfId="709" applyFont="1" applyAlignment="1">
      <alignment horizontal="center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2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64" fillId="4" borderId="19" xfId="709" applyFont="1" applyFill="1" applyBorder="1" applyAlignment="1">
      <alignment horizontal="center" wrapText="1"/>
    </xf>
    <xf numFmtId="0" fontId="64" fillId="4" borderId="0" xfId="709" applyFont="1" applyFill="1" applyBorder="1" applyAlignment="1">
      <alignment horizontal="center" wrapText="1"/>
    </xf>
    <xf numFmtId="0" fontId="64" fillId="4" borderId="20" xfId="709" applyFont="1" applyFill="1" applyBorder="1" applyAlignment="1">
      <alignment horizontal="center" wrapText="1"/>
    </xf>
    <xf numFmtId="0" fontId="64" fillId="4" borderId="21" xfId="709" applyFont="1" applyFill="1" applyBorder="1" applyAlignment="1">
      <alignment horizontal="center" wrapText="1"/>
    </xf>
    <xf numFmtId="0" fontId="64" fillId="4" borderId="24" xfId="709" applyFont="1" applyFill="1" applyBorder="1" applyAlignment="1">
      <alignment horizontal="center" wrapText="1"/>
    </xf>
    <xf numFmtId="0" fontId="64" fillId="4" borderId="22" xfId="709" applyFont="1" applyFill="1" applyBorder="1" applyAlignment="1">
      <alignment horizontal="center" wrapText="1"/>
    </xf>
    <xf numFmtId="164" fontId="39" fillId="0" borderId="68" xfId="80" applyFont="1" applyBorder="1" applyAlignment="1">
      <alignment vertical="center" wrapText="1"/>
    </xf>
    <xf numFmtId="164" fontId="39" fillId="0" borderId="46" xfId="80" applyFont="1" applyBorder="1" applyAlignment="1">
      <alignment vertical="center" wrapText="1"/>
    </xf>
    <xf numFmtId="0" fontId="14" fillId="4" borderId="36" xfId="0" applyFont="1" applyFill="1" applyBorder="1" applyAlignment="1">
      <alignment horizontal="left" vertical="center" wrapText="1" shrinkToFit="1"/>
    </xf>
    <xf numFmtId="0" fontId="16" fillId="4" borderId="51" xfId="0" applyFont="1" applyFill="1" applyBorder="1" applyAlignment="1">
      <alignment horizontal="left"/>
    </xf>
    <xf numFmtId="0" fontId="16" fillId="4" borderId="52" xfId="0" applyFont="1" applyFill="1" applyBorder="1" applyAlignment="1">
      <alignment horizontal="left"/>
    </xf>
    <xf numFmtId="0" fontId="16" fillId="4" borderId="53" xfId="0" applyFont="1" applyFill="1" applyBorder="1" applyAlignment="1">
      <alignment horizontal="left"/>
    </xf>
    <xf numFmtId="4" fontId="12" fillId="0" borderId="52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47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53" fillId="4" borderId="13" xfId="709" applyFont="1" applyFill="1" applyBorder="1" applyAlignment="1">
      <alignment horizontal="center" vertical="center" wrapText="1"/>
    </xf>
    <xf numFmtId="0" fontId="53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62" fillId="4" borderId="21" xfId="709" applyFont="1" applyFill="1" applyBorder="1" applyAlignment="1">
      <alignment horizontal="center"/>
    </xf>
    <xf numFmtId="0" fontId="62" fillId="4" borderId="24" xfId="709" applyFont="1" applyFill="1" applyBorder="1" applyAlignment="1">
      <alignment horizontal="center"/>
    </xf>
    <xf numFmtId="0" fontId="62" fillId="4" borderId="22" xfId="709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/>
    </xf>
    <xf numFmtId="0" fontId="41" fillId="4" borderId="52" xfId="709" applyFont="1" applyFill="1" applyBorder="1" applyAlignment="1">
      <alignment horizontal="center"/>
    </xf>
    <xf numFmtId="0" fontId="41" fillId="4" borderId="53" xfId="709" applyFont="1" applyFill="1" applyBorder="1" applyAlignment="1">
      <alignment horizontal="center"/>
    </xf>
    <xf numFmtId="0" fontId="61" fillId="4" borderId="21" xfId="0" applyFont="1" applyFill="1" applyBorder="1" applyAlignment="1">
      <alignment horizontal="center" wrapText="1"/>
    </xf>
    <xf numFmtId="0" fontId="61" fillId="4" borderId="24" xfId="0" applyFont="1" applyFill="1" applyBorder="1" applyAlignment="1">
      <alignment horizontal="center" wrapText="1"/>
    </xf>
    <xf numFmtId="0" fontId="61" fillId="4" borderId="22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14" fontId="11" fillId="4" borderId="22" xfId="0" applyNumberFormat="1" applyFont="1" applyFill="1" applyBorder="1" applyAlignment="1">
      <alignment horizontal="center" vertical="center"/>
    </xf>
    <xf numFmtId="2" fontId="12" fillId="3" borderId="51" xfId="0" applyNumberFormat="1" applyFont="1" applyFill="1" applyBorder="1" applyAlignment="1">
      <alignment horizontal="center" vertical="center"/>
    </xf>
    <xf numFmtId="2" fontId="12" fillId="3" borderId="53" xfId="0" applyNumberFormat="1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/>
    </xf>
    <xf numFmtId="0" fontId="12" fillId="4" borderId="52" xfId="0" applyFont="1" applyFill="1" applyBorder="1" applyAlignment="1">
      <alignment horizontal="left"/>
    </xf>
    <xf numFmtId="0" fontId="12" fillId="4" borderId="53" xfId="0" applyFont="1" applyFill="1" applyBorder="1" applyAlignment="1">
      <alignment horizontal="left"/>
    </xf>
    <xf numFmtId="0" fontId="16" fillId="4" borderId="21" xfId="0" quotePrefix="1" applyFont="1" applyFill="1" applyBorder="1" applyAlignment="1">
      <alignment horizontal="center" vertical="center" wrapText="1"/>
    </xf>
    <xf numFmtId="0" fontId="16" fillId="4" borderId="24" xfId="0" quotePrefix="1" applyFont="1" applyFill="1" applyBorder="1" applyAlignment="1">
      <alignment horizontal="center" vertical="center" wrapText="1"/>
    </xf>
    <xf numFmtId="0" fontId="16" fillId="4" borderId="22" xfId="0" quotePrefix="1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41" fillId="4" borderId="23" xfId="709" applyFont="1" applyFill="1" applyBorder="1" applyAlignment="1">
      <alignment horizontal="center"/>
    </xf>
    <xf numFmtId="0" fontId="41" fillId="4" borderId="17" xfId="709" applyFont="1" applyFill="1" applyBorder="1" applyAlignment="1">
      <alignment horizontal="center"/>
    </xf>
    <xf numFmtId="0" fontId="12" fillId="4" borderId="21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44" xfId="0" applyFont="1" applyFill="1" applyBorder="1" applyAlignment="1">
      <alignment horizontal="left" vertical="center"/>
    </xf>
    <xf numFmtId="0" fontId="12" fillId="4" borderId="47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41" fillId="4" borderId="42" xfId="709" applyFont="1" applyFill="1" applyBorder="1" applyAlignment="1">
      <alignment horizontal="center" vertical="center"/>
    </xf>
    <xf numFmtId="0" fontId="41" fillId="4" borderId="46" xfId="709" applyFont="1" applyFill="1" applyBorder="1" applyAlignment="1">
      <alignment horizontal="center" vertical="center"/>
    </xf>
    <xf numFmtId="0" fontId="41" fillId="4" borderId="16" xfId="709" applyFont="1" applyFill="1" applyBorder="1" applyAlignment="1">
      <alignment horizontal="center" vertical="top"/>
    </xf>
    <xf numFmtId="0" fontId="41" fillId="4" borderId="23" xfId="709" applyFont="1" applyFill="1" applyBorder="1" applyAlignment="1">
      <alignment horizontal="center" vertical="top"/>
    </xf>
    <xf numFmtId="0" fontId="41" fillId="4" borderId="17" xfId="709" applyFont="1" applyFill="1" applyBorder="1" applyAlignment="1">
      <alignment horizontal="center" vertical="top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39" fillId="4" borderId="44" xfId="0" applyFont="1" applyFill="1" applyBorder="1" applyAlignment="1">
      <alignment horizontal="left" vertical="center" wrapText="1" shrinkToFit="1"/>
    </xf>
    <xf numFmtId="0" fontId="39" fillId="4" borderId="47" xfId="0" applyFont="1" applyFill="1" applyBorder="1" applyAlignment="1">
      <alignment horizontal="left" vertical="center" wrapText="1" shrinkToFit="1"/>
    </xf>
    <xf numFmtId="0" fontId="39" fillId="4" borderId="56" xfId="709" applyFont="1" applyFill="1" applyBorder="1" applyAlignment="1">
      <alignment horizontal="left"/>
    </xf>
    <xf numFmtId="0" fontId="39" fillId="4" borderId="48" xfId="709" applyFont="1" applyFill="1" applyBorder="1" applyAlignment="1">
      <alignment horizontal="left"/>
    </xf>
    <xf numFmtId="0" fontId="39" fillId="4" borderId="34" xfId="0" applyFont="1" applyFill="1" applyBorder="1" applyAlignment="1">
      <alignment horizontal="left" vertical="center" wrapText="1" shrinkToFit="1"/>
    </xf>
    <xf numFmtId="0" fontId="39" fillId="4" borderId="2" xfId="0" applyFont="1" applyFill="1" applyBorder="1" applyAlignment="1">
      <alignment horizontal="left" vertical="center" wrapText="1" shrinkToFit="1"/>
    </xf>
    <xf numFmtId="0" fontId="40" fillId="4" borderId="16" xfId="0" applyFont="1" applyFill="1" applyBorder="1" applyAlignment="1">
      <alignment horizontal="center"/>
    </xf>
    <xf numFmtId="0" fontId="40" fillId="4" borderId="23" xfId="0" applyFont="1" applyFill="1" applyBorder="1" applyAlignment="1">
      <alignment horizontal="center"/>
    </xf>
    <xf numFmtId="0" fontId="40" fillId="4" borderId="1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wrapText="1"/>
    </xf>
    <xf numFmtId="0" fontId="40" fillId="4" borderId="20" xfId="0" applyFont="1" applyFill="1" applyBorder="1" applyAlignment="1">
      <alignment horizontal="center" wrapText="1"/>
    </xf>
    <xf numFmtId="0" fontId="40" fillId="4" borderId="19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36" fillId="3" borderId="0" xfId="709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39" fillId="4" borderId="21" xfId="0" applyFont="1" applyFill="1" applyBorder="1" applyAlignment="1">
      <alignment horizontal="center" vertical="center" wrapText="1" shrinkToFit="1"/>
    </xf>
    <xf numFmtId="0" fontId="39" fillId="4" borderId="24" xfId="0" applyFont="1" applyFill="1" applyBorder="1" applyAlignment="1">
      <alignment horizontal="center" vertical="center" wrapText="1" shrinkToFit="1"/>
    </xf>
    <xf numFmtId="0" fontId="38" fillId="3" borderId="44" xfId="709" applyFont="1" applyFill="1" applyBorder="1" applyAlignment="1">
      <alignment horizontal="left"/>
    </xf>
    <xf numFmtId="0" fontId="38" fillId="3" borderId="47" xfId="709" applyFont="1" applyFill="1" applyBorder="1" applyAlignment="1">
      <alignment horizontal="left"/>
    </xf>
    <xf numFmtId="0" fontId="38" fillId="3" borderId="56" xfId="709" applyFont="1" applyFill="1" applyBorder="1" applyAlignment="1">
      <alignment horizontal="left"/>
    </xf>
    <xf numFmtId="0" fontId="38" fillId="3" borderId="48" xfId="709" applyFont="1" applyFill="1" applyBorder="1" applyAlignment="1">
      <alignment horizontal="left"/>
    </xf>
    <xf numFmtId="0" fontId="14" fillId="3" borderId="19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vertical="top" wrapText="1" shrinkToFit="1"/>
    </xf>
    <xf numFmtId="0" fontId="14" fillId="3" borderId="34" xfId="0" applyFont="1" applyFill="1" applyBorder="1" applyAlignment="1">
      <alignment horizontal="left" vertical="top" wrapText="1" shrinkToFit="1"/>
    </xf>
    <xf numFmtId="0" fontId="14" fillId="3" borderId="2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wrapText="1" shrinkToFit="1"/>
    </xf>
    <xf numFmtId="0" fontId="14" fillId="3" borderId="2" xfId="0" applyFont="1" applyFill="1" applyBorder="1" applyAlignment="1">
      <alignment horizontal="left" wrapText="1" shrinkToFit="1"/>
    </xf>
    <xf numFmtId="4" fontId="14" fillId="0" borderId="42" xfId="0" applyNumberFormat="1" applyFont="1" applyBorder="1" applyAlignment="1">
      <alignment horizontal="center"/>
    </xf>
    <xf numFmtId="4" fontId="14" fillId="0" borderId="46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 wrapText="1" shrinkToFit="1"/>
    </xf>
    <xf numFmtId="0" fontId="14" fillId="3" borderId="47" xfId="0" applyFont="1" applyFill="1" applyBorder="1" applyAlignment="1">
      <alignment horizontal="left" wrapText="1" shrinkToFi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66" fontId="18" fillId="3" borderId="44" xfId="0" applyNumberFormat="1" applyFont="1" applyFill="1" applyBorder="1" applyAlignment="1">
      <alignment horizontal="center"/>
    </xf>
    <xf numFmtId="166" fontId="18" fillId="3" borderId="47" xfId="0" applyNumberFormat="1" applyFont="1" applyFill="1" applyBorder="1" applyAlignment="1">
      <alignment horizontal="center"/>
    </xf>
    <xf numFmtId="166" fontId="18" fillId="3" borderId="27" xfId="0" applyNumberFormat="1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66" fontId="18" fillId="3" borderId="21" xfId="0" applyNumberFormat="1" applyFont="1" applyFill="1" applyBorder="1" applyAlignment="1">
      <alignment horizontal="center"/>
    </xf>
    <xf numFmtId="166" fontId="18" fillId="3" borderId="24" xfId="0" applyNumberFormat="1" applyFont="1" applyFill="1" applyBorder="1" applyAlignment="1">
      <alignment horizontal="center"/>
    </xf>
    <xf numFmtId="166" fontId="18" fillId="3" borderId="22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4" fontId="20" fillId="0" borderId="0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4" fillId="0" borderId="13" xfId="80" applyFont="1" applyBorder="1" applyAlignment="1">
      <alignment horizontal="center" vertical="center"/>
    </xf>
    <xf numFmtId="164" fontId="14" fillId="0" borderId="15" xfId="80" applyFont="1" applyBorder="1" applyAlignment="1">
      <alignment horizontal="center" vertical="center"/>
    </xf>
    <xf numFmtId="164" fontId="14" fillId="0" borderId="56" xfId="80" applyFont="1" applyBorder="1" applyAlignment="1">
      <alignment horizontal="center" vertical="center"/>
    </xf>
    <xf numFmtId="164" fontId="14" fillId="0" borderId="36" xfId="80" applyFont="1" applyBorder="1" applyAlignment="1">
      <alignment horizontal="center" vertical="center"/>
    </xf>
    <xf numFmtId="164" fontId="14" fillId="0" borderId="51" xfId="80" applyFont="1" applyBorder="1" applyAlignment="1">
      <alignment horizontal="center" vertical="center"/>
    </xf>
    <xf numFmtId="164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164" fontId="14" fillId="0" borderId="41" xfId="80" applyFont="1" applyBorder="1" applyAlignment="1">
      <alignment horizontal="center" vertical="center"/>
    </xf>
    <xf numFmtId="0" fontId="85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164" fontId="14" fillId="3" borderId="2" xfId="80" applyFont="1" applyFill="1" applyBorder="1" applyAlignment="1">
      <alignment horizontal="center" vertical="center"/>
    </xf>
    <xf numFmtId="164" fontId="14" fillId="0" borderId="44" xfId="80" applyFont="1" applyBorder="1" applyAlignment="1">
      <alignment horizontal="center" vertical="center"/>
    </xf>
    <xf numFmtId="164" fontId="14" fillId="0" borderId="2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164" fontId="14" fillId="0" borderId="47" xfId="80" applyFont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346075</xdr:colOff>
      <xdr:row>15</xdr:row>
      <xdr:rowOff>38103</xdr:rowOff>
    </xdr:from>
    <xdr:to>
      <xdr:col>4</xdr:col>
      <xdr:colOff>1057275</xdr:colOff>
      <xdr:row>16</xdr:row>
      <xdr:rowOff>980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14</xdr:row>
      <xdr:rowOff>164211</xdr:rowOff>
    </xdr:from>
    <xdr:to>
      <xdr:col>4</xdr:col>
      <xdr:colOff>1242095</xdr:colOff>
      <xdr:row>14</xdr:row>
      <xdr:rowOff>444500</xdr:rowOff>
    </xdr:to>
    <xdr:pic>
      <xdr:nvPicPr>
        <xdr:cNvPr id="9" name="Billede 8" descr="logo 4 farvet jp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16</xdr:row>
      <xdr:rowOff>38100</xdr:rowOff>
    </xdr:from>
    <xdr:to>
      <xdr:col>4</xdr:col>
      <xdr:colOff>1066799</xdr:colOff>
      <xdr:row>18</xdr:row>
      <xdr:rowOff>222721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19</xdr:row>
      <xdr:rowOff>79671</xdr:rowOff>
    </xdr:from>
    <xdr:to>
      <xdr:col>4</xdr:col>
      <xdr:colOff>1511300</xdr:colOff>
      <xdr:row>22</xdr:row>
      <xdr:rowOff>50800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254000</xdr:colOff>
      <xdr:row>14</xdr:row>
      <xdr:rowOff>304800</xdr:rowOff>
    </xdr:from>
    <xdr:to>
      <xdr:col>7</xdr:col>
      <xdr:colOff>632495</xdr:colOff>
      <xdr:row>15</xdr:row>
      <xdr:rowOff>889</xdr:rowOff>
    </xdr:to>
    <xdr:pic>
      <xdr:nvPicPr>
        <xdr:cNvPr id="11" name="Billede 10" descr="logo 4 farvet jpg.jpg">
          <a:extLst>
            <a:ext uri="{FF2B5EF4-FFF2-40B4-BE49-F238E27FC236}">
              <a16:creationId xmlns:a16="http://schemas.microsoft.com/office/drawing/2014/main" id="{87D06CAE-C720-5447-B694-1F5CEB320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4686300"/>
          <a:ext cx="1051595" cy="280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topLeftCell="A2" workbookViewId="0">
      <selection activeCell="F15" sqref="F15:I15"/>
    </sheetView>
  </sheetViews>
  <sheetFormatPr baseColWidth="10" defaultColWidth="8.83203125" defaultRowHeight="15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35" customHeight="1">
      <c r="A1" s="1041"/>
      <c r="B1" s="1041"/>
      <c r="C1" s="1041"/>
      <c r="D1" s="1041"/>
      <c r="E1" s="1041"/>
      <c r="F1" s="1041"/>
      <c r="G1" s="1041"/>
      <c r="H1" s="1041"/>
      <c r="I1" s="1041"/>
    </row>
    <row r="2" spans="1:21" ht="30" customHeight="1">
      <c r="A2" s="1044"/>
      <c r="B2" s="1044"/>
      <c r="C2" s="1044"/>
      <c r="D2" s="1044"/>
      <c r="E2" s="1044"/>
      <c r="F2" s="1044"/>
      <c r="G2" s="1044"/>
      <c r="H2" s="1044"/>
      <c r="I2" s="1044"/>
    </row>
    <row r="3" spans="1:21" ht="37" customHeight="1">
      <c r="A3" s="1042" t="s">
        <v>83</v>
      </c>
      <c r="B3" s="1042"/>
      <c r="C3" s="1042"/>
      <c r="D3" s="1042"/>
      <c r="E3" s="1042"/>
      <c r="F3" s="1042"/>
      <c r="G3" s="1042"/>
      <c r="H3" s="1042"/>
      <c r="I3" s="1042"/>
      <c r="M3" s="1039"/>
      <c r="N3" s="1040"/>
      <c r="O3" s="1040"/>
      <c r="P3" s="1040"/>
      <c r="Q3" s="1040"/>
      <c r="R3" s="1040"/>
      <c r="S3" s="1040"/>
      <c r="T3" s="1040"/>
      <c r="U3" s="1040"/>
    </row>
    <row r="4" spans="1:21" ht="26" customHeight="1">
      <c r="A4" s="1042" t="s">
        <v>444</v>
      </c>
      <c r="B4" s="1042"/>
      <c r="C4" s="1042"/>
      <c r="D4" s="1042"/>
      <c r="E4" s="1042"/>
      <c r="F4" s="1042"/>
      <c r="G4" s="1042"/>
      <c r="H4" s="1042"/>
      <c r="I4" s="1042"/>
    </row>
    <row r="5" spans="1:21" s="33" customFormat="1" ht="14" customHeight="1">
      <c r="A5" s="1043"/>
      <c r="B5" s="1043"/>
      <c r="C5" s="1043"/>
      <c r="D5" s="1043"/>
      <c r="E5" s="1043"/>
      <c r="F5" s="1043"/>
      <c r="G5" s="1043"/>
      <c r="H5" s="1043"/>
      <c r="I5" s="1043"/>
    </row>
    <row r="6" spans="1:21" s="33" customFormat="1" ht="21" customHeight="1">
      <c r="A6" s="1048" t="s">
        <v>518</v>
      </c>
      <c r="B6" s="1048"/>
      <c r="C6" s="1048"/>
      <c r="D6" s="1048"/>
      <c r="E6" s="1048"/>
      <c r="F6" s="1048"/>
      <c r="G6" s="1048"/>
      <c r="H6" s="1048"/>
      <c r="I6" s="1048"/>
    </row>
    <row r="7" spans="1:21" s="33" customFormat="1" ht="36.75" customHeight="1">
      <c r="A7" s="1048" t="s">
        <v>519</v>
      </c>
      <c r="B7" s="1048"/>
      <c r="C7" s="1048"/>
      <c r="D7" s="1048"/>
      <c r="E7" s="1048"/>
      <c r="F7" s="1048"/>
      <c r="G7" s="1048"/>
      <c r="H7" s="1048"/>
      <c r="I7" s="1048"/>
    </row>
    <row r="8" spans="1:21" ht="18" customHeight="1">
      <c r="A8" s="1045" t="s">
        <v>529</v>
      </c>
      <c r="B8" s="1045"/>
      <c r="C8" s="1045"/>
      <c r="D8" s="1045"/>
      <c r="E8" s="1045"/>
      <c r="F8" s="1045"/>
      <c r="G8" s="1045"/>
      <c r="H8" s="1045"/>
      <c r="I8" s="1045"/>
    </row>
    <row r="9" spans="1:21" ht="18" customHeight="1">
      <c r="A9" s="1045"/>
      <c r="B9" s="1045"/>
      <c r="C9" s="1045"/>
      <c r="D9" s="1045"/>
      <c r="E9" s="1045"/>
      <c r="F9" s="1045"/>
      <c r="G9" s="1045"/>
      <c r="H9" s="1045"/>
      <c r="I9" s="1045"/>
    </row>
    <row r="10" spans="1:21" ht="18" customHeight="1">
      <c r="A10" s="972" t="s">
        <v>510</v>
      </c>
      <c r="B10" s="973"/>
      <c r="C10" s="973"/>
      <c r="D10" s="973"/>
      <c r="E10" s="973"/>
      <c r="F10" s="973"/>
      <c r="G10" s="973"/>
      <c r="H10" s="973"/>
      <c r="I10" s="973"/>
    </row>
    <row r="11" spans="1:21" ht="17" customHeight="1">
      <c r="A11" s="1051" t="s">
        <v>520</v>
      </c>
      <c r="B11" s="1051"/>
      <c r="C11" s="1051"/>
      <c r="D11" s="1051"/>
      <c r="E11" s="1051"/>
      <c r="F11" s="1051"/>
      <c r="G11" s="1051"/>
      <c r="H11" s="1051"/>
      <c r="I11" s="1051"/>
    </row>
    <row r="12" spans="1:21" ht="35" customHeight="1">
      <c r="A12" s="1051" t="s">
        <v>521</v>
      </c>
      <c r="B12" s="1051"/>
      <c r="C12" s="1051"/>
      <c r="D12" s="1051"/>
      <c r="E12" s="1051"/>
      <c r="F12" s="1051"/>
      <c r="G12" s="1051"/>
      <c r="H12" s="1051"/>
      <c r="I12" s="1051"/>
    </row>
    <row r="13" spans="1:21" ht="21" customHeight="1">
      <c r="A13" s="809"/>
      <c r="B13" s="809"/>
      <c r="C13" s="809"/>
      <c r="D13" s="809"/>
      <c r="E13" s="809"/>
      <c r="F13" s="809"/>
      <c r="G13" s="809"/>
      <c r="H13" s="809"/>
      <c r="I13" s="809"/>
    </row>
    <row r="14" spans="1:21" ht="19" customHeight="1">
      <c r="A14" s="1050"/>
      <c r="B14" s="1050"/>
      <c r="C14" s="1050"/>
      <c r="D14" s="1050"/>
      <c r="E14" s="1050"/>
      <c r="F14" s="1046"/>
      <c r="G14" s="1046"/>
      <c r="H14" s="1046"/>
      <c r="I14" s="1046"/>
    </row>
    <row r="15" spans="1:21" ht="46" customHeight="1">
      <c r="A15" s="1049" t="s">
        <v>86</v>
      </c>
      <c r="B15" s="1049"/>
      <c r="C15" s="1049"/>
      <c r="D15" s="1049"/>
      <c r="E15" s="34"/>
      <c r="F15" s="1047" t="s">
        <v>346</v>
      </c>
      <c r="G15" s="1047"/>
      <c r="H15" s="1047"/>
      <c r="I15" s="1047"/>
    </row>
    <row r="16" spans="1:21" ht="46" customHeight="1">
      <c r="A16" s="1049" t="s">
        <v>84</v>
      </c>
      <c r="B16" s="1049"/>
      <c r="C16" s="1049"/>
      <c r="D16" s="1049"/>
      <c r="E16" s="34"/>
      <c r="F16" s="1056" t="s">
        <v>347</v>
      </c>
      <c r="G16" s="1056"/>
      <c r="H16" s="1056"/>
      <c r="I16" s="1056"/>
    </row>
    <row r="17" spans="1:9" ht="14" customHeight="1">
      <c r="A17" s="1049" t="s">
        <v>340</v>
      </c>
      <c r="B17" s="1049"/>
      <c r="C17" s="1049"/>
      <c r="D17" s="1049"/>
      <c r="E17" s="1058"/>
      <c r="F17" s="1056" t="s">
        <v>434</v>
      </c>
      <c r="G17" s="1056"/>
      <c r="H17" s="1056"/>
      <c r="I17" s="1056"/>
    </row>
    <row r="18" spans="1:9" ht="15" customHeight="1">
      <c r="A18" s="1049"/>
      <c r="B18" s="1049"/>
      <c r="C18" s="1049"/>
      <c r="D18" s="1049"/>
      <c r="E18" s="1058"/>
      <c r="F18" s="1056"/>
      <c r="G18" s="1056"/>
      <c r="H18" s="1056"/>
      <c r="I18" s="1056"/>
    </row>
    <row r="19" spans="1:9" ht="18" customHeight="1">
      <c r="A19" s="1049"/>
      <c r="B19" s="1049"/>
      <c r="C19" s="1049"/>
      <c r="D19" s="1049"/>
      <c r="E19" s="1058"/>
      <c r="F19" s="1056"/>
      <c r="G19" s="1056"/>
      <c r="H19" s="1056"/>
      <c r="I19" s="1056"/>
    </row>
    <row r="20" spans="1:9" ht="15" customHeight="1">
      <c r="A20" s="1059" t="s">
        <v>85</v>
      </c>
      <c r="B20" s="1059"/>
      <c r="C20" s="41"/>
      <c r="D20" s="41"/>
      <c r="E20" s="1058"/>
      <c r="F20" s="1056" t="s">
        <v>435</v>
      </c>
      <c r="G20" s="1056"/>
      <c r="H20" s="1056"/>
      <c r="I20" s="1056"/>
    </row>
    <row r="21" spans="1:9" ht="15" customHeight="1">
      <c r="A21" s="1059"/>
      <c r="B21" s="1059"/>
      <c r="C21" s="41"/>
      <c r="D21" s="41"/>
      <c r="E21" s="1058"/>
      <c r="F21" s="1056"/>
      <c r="G21" s="1056"/>
      <c r="H21" s="1056"/>
      <c r="I21" s="1056"/>
    </row>
    <row r="22" spans="1:9" ht="15" customHeight="1">
      <c r="A22" s="1059"/>
      <c r="B22" s="1059"/>
      <c r="C22" s="41"/>
      <c r="D22" s="41"/>
      <c r="E22" s="1058"/>
      <c r="F22" s="1056" t="s">
        <v>348</v>
      </c>
      <c r="G22" s="1056"/>
      <c r="H22" s="1056"/>
      <c r="I22" s="1056"/>
    </row>
    <row r="23" spans="1:9" ht="16" customHeight="1">
      <c r="A23" s="1059"/>
      <c r="B23" s="1059"/>
      <c r="C23" s="41"/>
      <c r="D23" s="41"/>
      <c r="E23" s="1058"/>
      <c r="F23" s="1056" t="s">
        <v>349</v>
      </c>
      <c r="G23" s="1056"/>
      <c r="H23" s="1056"/>
      <c r="I23" s="1056"/>
    </row>
    <row r="24" spans="1:9" ht="26" customHeight="1">
      <c r="A24" s="1057"/>
      <c r="B24" s="1057"/>
      <c r="C24" s="1057"/>
      <c r="D24" s="1057"/>
      <c r="E24" s="1057"/>
      <c r="F24" s="1056" t="s">
        <v>350</v>
      </c>
      <c r="G24" s="1056"/>
      <c r="H24" s="1056"/>
      <c r="I24" s="1056"/>
    </row>
    <row r="25" spans="1:9" ht="15" customHeight="1">
      <c r="A25" s="1057"/>
      <c r="B25" s="1057"/>
      <c r="C25" s="1057"/>
      <c r="D25" s="1057"/>
      <c r="E25" s="1057"/>
    </row>
    <row r="26" spans="1:9" ht="46" customHeight="1">
      <c r="A26" s="1050"/>
      <c r="B26" s="1050"/>
      <c r="C26" s="1050"/>
      <c r="D26" s="1050"/>
      <c r="E26" s="1050"/>
      <c r="F26" s="1050"/>
      <c r="G26" s="1050"/>
      <c r="H26" s="1050"/>
      <c r="I26" s="1050"/>
    </row>
    <row r="27" spans="1:9" ht="46" customHeight="1">
      <c r="A27" s="1057" t="s">
        <v>131</v>
      </c>
      <c r="B27" s="1057"/>
      <c r="C27" s="1057"/>
      <c r="D27" s="1057"/>
      <c r="E27" s="1057"/>
      <c r="F27" s="1057"/>
      <c r="G27" s="1057"/>
      <c r="H27" s="1057"/>
      <c r="I27" s="1057"/>
    </row>
    <row r="28" spans="1:9" ht="85" customHeight="1">
      <c r="A28" s="648"/>
      <c r="B28" s="648"/>
      <c r="C28" s="648"/>
      <c r="D28" s="648"/>
      <c r="E28" s="648"/>
    </row>
    <row r="29" spans="1:9" ht="13" customHeight="1">
      <c r="A29" s="1044"/>
      <c r="B29" s="1044"/>
      <c r="C29" s="1044"/>
      <c r="D29" s="1044"/>
      <c r="E29" s="15"/>
    </row>
    <row r="30" spans="1:9">
      <c r="B30" s="1055"/>
      <c r="C30" s="1055"/>
      <c r="D30" s="1055"/>
      <c r="E30" s="129"/>
    </row>
    <row r="31" spans="1:9">
      <c r="A31" s="37"/>
      <c r="B31" s="14"/>
      <c r="C31" s="14"/>
      <c r="D31" s="14"/>
      <c r="E31" s="14"/>
      <c r="F31" s="647"/>
      <c r="G31" s="647"/>
      <c r="H31" s="647"/>
      <c r="I31" s="647"/>
    </row>
    <row r="32" spans="1:9">
      <c r="A32" s="1044"/>
      <c r="B32" s="1044"/>
      <c r="C32" s="1044"/>
      <c r="D32" s="1044"/>
      <c r="E32" s="15"/>
    </row>
    <row r="33" spans="1:9">
      <c r="A33" s="647"/>
      <c r="B33" s="647"/>
      <c r="C33" s="647"/>
      <c r="D33" s="647"/>
      <c r="E33" s="647"/>
    </row>
    <row r="34" spans="1:9">
      <c r="A34" s="1044"/>
      <c r="B34" s="1044"/>
      <c r="C34" s="1044"/>
      <c r="D34" s="1044"/>
      <c r="E34" s="15"/>
      <c r="H34" s="1044"/>
      <c r="I34" s="1044"/>
    </row>
    <row r="35" spans="1:9">
      <c r="A35" s="1044"/>
      <c r="B35" s="1044"/>
      <c r="C35" s="1044"/>
      <c r="D35" s="1044"/>
      <c r="E35" s="15"/>
      <c r="H35" s="1044"/>
      <c r="I35" s="1044"/>
    </row>
    <row r="36" spans="1:9">
      <c r="A36" s="1044"/>
      <c r="B36" s="1044"/>
      <c r="C36" s="1044"/>
      <c r="D36" s="1044"/>
      <c r="E36" s="15"/>
      <c r="H36" s="1044"/>
      <c r="I36" s="1044"/>
    </row>
    <row r="37" spans="1:9">
      <c r="A37" s="1044"/>
      <c r="B37" s="1044"/>
      <c r="C37" s="1044"/>
      <c r="D37" s="1044"/>
      <c r="E37" s="15"/>
      <c r="H37" s="1044"/>
      <c r="I37" s="1044"/>
    </row>
    <row r="38" spans="1:9">
      <c r="A38" s="1044"/>
      <c r="B38" s="1044"/>
      <c r="C38" s="1044"/>
      <c r="D38" s="1044"/>
      <c r="E38" s="15"/>
      <c r="H38" s="1044"/>
      <c r="I38" s="1044"/>
    </row>
    <row r="39" spans="1:9">
      <c r="A39" s="1044"/>
      <c r="B39" s="1044"/>
      <c r="C39" s="1044"/>
      <c r="D39" s="1044"/>
      <c r="E39" s="15"/>
      <c r="H39" s="1044"/>
      <c r="I39" s="1044"/>
    </row>
    <row r="40" spans="1:9">
      <c r="A40" s="1044"/>
      <c r="B40" s="1044"/>
      <c r="C40" s="1044"/>
      <c r="D40" s="1044"/>
      <c r="E40" s="15"/>
      <c r="H40" s="1044"/>
      <c r="I40" s="1044"/>
    </row>
    <row r="41" spans="1:9">
      <c r="A41" s="1044"/>
      <c r="B41" s="1044"/>
      <c r="C41" s="1044"/>
      <c r="D41" s="1044"/>
      <c r="E41" s="15"/>
      <c r="H41" s="1044"/>
      <c r="I41" s="1044"/>
    </row>
    <row r="42" spans="1:9">
      <c r="A42" s="37"/>
      <c r="B42" s="15"/>
      <c r="C42" s="15"/>
      <c r="D42" s="15"/>
      <c r="E42" s="15"/>
      <c r="H42" s="1044"/>
      <c r="I42" s="1044"/>
    </row>
    <row r="43" spans="1:9" ht="18">
      <c r="A43" s="41"/>
      <c r="B43" s="1055"/>
      <c r="C43" s="1055"/>
      <c r="D43" s="1055"/>
      <c r="E43" s="39"/>
      <c r="H43" s="1044"/>
      <c r="I43" s="1044"/>
    </row>
    <row r="44" spans="1:9">
      <c r="A44" s="37"/>
      <c r="B44" s="14"/>
      <c r="C44" s="14"/>
      <c r="D44" s="14"/>
      <c r="E44" s="14"/>
    </row>
    <row r="45" spans="1:9" ht="16">
      <c r="A45" s="1054"/>
      <c r="B45" s="1054"/>
      <c r="C45" s="1054"/>
      <c r="D45" s="1054"/>
      <c r="E45" s="35"/>
    </row>
    <row r="46" spans="1:9" ht="18">
      <c r="A46" s="1053"/>
      <c r="B46" s="1053"/>
      <c r="C46" s="1053"/>
      <c r="D46" s="1053"/>
      <c r="E46" s="39"/>
    </row>
    <row r="47" spans="1:9">
      <c r="A47" s="37"/>
      <c r="B47" s="14"/>
      <c r="C47" s="14"/>
      <c r="D47" s="14"/>
      <c r="E47" s="14"/>
    </row>
    <row r="48" spans="1:9">
      <c r="A48" s="37"/>
      <c r="B48" s="14"/>
      <c r="C48" s="14"/>
      <c r="D48" s="14"/>
      <c r="E48" s="14"/>
    </row>
    <row r="49" spans="1:9">
      <c r="A49" s="37"/>
      <c r="B49" s="14"/>
      <c r="C49" s="14"/>
      <c r="D49" s="14"/>
      <c r="E49" s="14"/>
    </row>
    <row r="50" spans="1:9">
      <c r="A50" s="37"/>
      <c r="B50" s="14"/>
      <c r="C50" s="14"/>
      <c r="D50" s="14"/>
      <c r="E50" s="14"/>
    </row>
    <row r="51" spans="1:9">
      <c r="A51" s="37"/>
      <c r="B51" s="14"/>
      <c r="C51" s="14"/>
      <c r="D51" s="14"/>
      <c r="E51" s="14"/>
    </row>
    <row r="53" spans="1:9">
      <c r="I53" s="40"/>
    </row>
    <row r="54" spans="1:9">
      <c r="I54" s="38"/>
    </row>
    <row r="56" spans="1:9">
      <c r="I56" s="32"/>
    </row>
    <row r="57" spans="1:9">
      <c r="I57" s="1052"/>
    </row>
    <row r="58" spans="1:9">
      <c r="I58" s="1052"/>
    </row>
    <row r="59" spans="1:9">
      <c r="I59" s="1052"/>
    </row>
  </sheetData>
  <sheetProtection algorithmName="SHA-512" hashValue="VAsf3Iq8EUdnUN9R633OBB/6atUs6ZqFHr6VUD9xu1afF2UVHIckUZoCtAeveJZcUKBU/okhaYTevMGQZdXdOQ==" saltValue="mPZ84wfWNJ3QdqxjXCrtKw==" spinCount="100000" sheet="1" objects="1" scenarios="1"/>
  <mergeCells count="55">
    <mergeCell ref="F16:I16"/>
    <mergeCell ref="A9:I9"/>
    <mergeCell ref="A11:I11"/>
    <mergeCell ref="F23:I23"/>
    <mergeCell ref="F22:I22"/>
    <mergeCell ref="F17:I19"/>
    <mergeCell ref="F20:I21"/>
    <mergeCell ref="A16:D16"/>
    <mergeCell ref="A17:D19"/>
    <mergeCell ref="E17:E19"/>
    <mergeCell ref="A20:B23"/>
    <mergeCell ref="E20:E23"/>
    <mergeCell ref="F24:I24"/>
    <mergeCell ref="H41:I41"/>
    <mergeCell ref="H42:I42"/>
    <mergeCell ref="B30:D30"/>
    <mergeCell ref="H34:I34"/>
    <mergeCell ref="H35:I35"/>
    <mergeCell ref="H38:I38"/>
    <mergeCell ref="H39:I39"/>
    <mergeCell ref="H40:I40"/>
    <mergeCell ref="A29:D29"/>
    <mergeCell ref="A27:I27"/>
    <mergeCell ref="A24:E25"/>
    <mergeCell ref="A26:I26"/>
    <mergeCell ref="I57:I59"/>
    <mergeCell ref="A46:D46"/>
    <mergeCell ref="A32:D32"/>
    <mergeCell ref="A34:D34"/>
    <mergeCell ref="A35:D35"/>
    <mergeCell ref="A36:D36"/>
    <mergeCell ref="A37:D37"/>
    <mergeCell ref="A38:D38"/>
    <mergeCell ref="A39:D39"/>
    <mergeCell ref="A40:D40"/>
    <mergeCell ref="A41:D41"/>
    <mergeCell ref="A45:D45"/>
    <mergeCell ref="H36:I36"/>
    <mergeCell ref="H37:I37"/>
    <mergeCell ref="H43:I43"/>
    <mergeCell ref="B43:D43"/>
    <mergeCell ref="A8:I8"/>
    <mergeCell ref="F14:I14"/>
    <mergeCell ref="F15:I15"/>
    <mergeCell ref="A6:I6"/>
    <mergeCell ref="A15:D15"/>
    <mergeCell ref="A14:E14"/>
    <mergeCell ref="A12:I12"/>
    <mergeCell ref="A7:I7"/>
    <mergeCell ref="M3:U3"/>
    <mergeCell ref="A1:I1"/>
    <mergeCell ref="A4:I4"/>
    <mergeCell ref="A3:I3"/>
    <mergeCell ref="A5:I5"/>
    <mergeCell ref="A2:I2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baseColWidth="10" defaultColWidth="8.83203125" defaultRowHeight="13"/>
  <cols>
    <col min="1" max="7" width="12.6640625" style="225" customWidth="1"/>
    <col min="8" max="8" width="14" style="225" customWidth="1"/>
    <col min="9" max="10" width="12.6640625" style="225" customWidth="1"/>
    <col min="11" max="11" width="8.83203125" style="225"/>
    <col min="12" max="12" width="11.33203125" style="225" bestFit="1" customWidth="1"/>
    <col min="13" max="16384" width="8.83203125" style="225"/>
  </cols>
  <sheetData>
    <row r="1" spans="1:14" ht="20">
      <c r="A1" s="1230" t="s">
        <v>19</v>
      </c>
      <c r="B1" s="1231"/>
      <c r="C1" s="1231"/>
      <c r="D1" s="1231"/>
      <c r="E1" s="1231"/>
      <c r="F1" s="1231"/>
      <c r="G1" s="1231"/>
      <c r="H1" s="1231"/>
      <c r="I1" s="1232"/>
    </row>
    <row r="2" spans="1:14" ht="39" customHeight="1">
      <c r="A2" s="1730" t="s">
        <v>192</v>
      </c>
      <c r="B2" s="1731"/>
      <c r="C2" s="1731"/>
      <c r="D2" s="1731"/>
      <c r="E2" s="1731"/>
      <c r="F2" s="1731"/>
      <c r="G2" s="1731"/>
      <c r="H2" s="1731"/>
      <c r="I2" s="1732"/>
    </row>
    <row r="3" spans="1:14" ht="20">
      <c r="A3" s="1241" t="str">
        <f>'Forside 1'!A6:I6</f>
        <v>Gældende fra 1. april 2020</v>
      </c>
      <c r="B3" s="1242"/>
      <c r="C3" s="1242"/>
      <c r="D3" s="1242"/>
      <c r="E3" s="1242"/>
      <c r="F3" s="1242"/>
      <c r="G3" s="1242"/>
      <c r="H3" s="1242"/>
      <c r="I3" s="1243"/>
    </row>
    <row r="4" spans="1:14" s="328" customFormat="1" ht="34" customHeight="1" thickBot="1">
      <c r="A4" s="1822" t="s">
        <v>341</v>
      </c>
      <c r="B4" s="1823"/>
      <c r="C4" s="1823"/>
      <c r="D4" s="1823"/>
      <c r="E4" s="1823"/>
      <c r="F4" s="1823"/>
      <c r="G4" s="1823"/>
      <c r="H4" s="1823"/>
      <c r="I4" s="1824"/>
    </row>
    <row r="5" spans="1:14" ht="14">
      <c r="A5" s="245"/>
      <c r="B5" s="245"/>
      <c r="C5" s="245"/>
      <c r="D5" s="245"/>
      <c r="E5" s="245"/>
      <c r="F5" s="245"/>
      <c r="G5" s="245"/>
      <c r="H5" s="245"/>
      <c r="I5" s="245"/>
      <c r="J5" s="245"/>
    </row>
    <row r="6" spans="1:14" ht="15" thickBot="1">
      <c r="A6" s="245"/>
      <c r="B6" s="245"/>
      <c r="C6" s="245"/>
      <c r="D6" s="245"/>
      <c r="E6" s="245"/>
      <c r="F6" s="245"/>
      <c r="G6" s="245"/>
      <c r="H6" s="245"/>
      <c r="I6" s="245"/>
      <c r="J6" s="245"/>
    </row>
    <row r="7" spans="1:14" s="255" customFormat="1" ht="19" thickBot="1">
      <c r="A7" s="1733" t="s">
        <v>310</v>
      </c>
      <c r="B7" s="1734"/>
      <c r="C7" s="1734"/>
      <c r="D7" s="1734"/>
      <c r="E7" s="1734"/>
      <c r="F7" s="1735"/>
      <c r="G7" s="1733" t="s">
        <v>170</v>
      </c>
      <c r="H7" s="1734"/>
      <c r="I7" s="1735"/>
      <c r="J7" s="766"/>
    </row>
    <row r="8" spans="1:14" s="255" customFormat="1" ht="15">
      <c r="A8" s="557" t="s">
        <v>57</v>
      </c>
      <c r="B8" s="558" t="s">
        <v>76</v>
      </c>
      <c r="C8" s="558" t="s">
        <v>77</v>
      </c>
      <c r="D8" s="558" t="s">
        <v>78</v>
      </c>
      <c r="E8" s="558" t="s">
        <v>79</v>
      </c>
      <c r="F8" s="558" t="s">
        <v>80</v>
      </c>
      <c r="G8" s="1816" t="s">
        <v>443</v>
      </c>
      <c r="H8" s="1817"/>
      <c r="I8" s="767">
        <v>0.14000000000000001</v>
      </c>
    </row>
    <row r="9" spans="1:14" s="255" customFormat="1" ht="14" customHeight="1">
      <c r="A9" s="294" t="s">
        <v>234</v>
      </c>
      <c r="B9" s="505">
        <f>'Statens skalatrin'!D46+('3f (DFF, DPS, DSSV)'!F24/12)</f>
        <v>21105.669166666667</v>
      </c>
      <c r="C9" s="505">
        <f>'Statens skalatrin'!F46+('3f (DFF, DPS, DSSV)'!F24/12)</f>
        <v>21541.419166666667</v>
      </c>
      <c r="D9" s="505">
        <f>'Statens skalatrin'!H46+('3f (DFF, DPS, DSSV)'!F24/12)</f>
        <v>21843.089166666665</v>
      </c>
      <c r="E9" s="505">
        <f>'Statens skalatrin'!J46+('3f (DFF, DPS, DSSV)'!F24/12)</f>
        <v>22278.749166666668</v>
      </c>
      <c r="F9" s="505">
        <f>'Statens skalatrin'!L46+('3f (DFF, DPS, DSSV)'!F24/12)</f>
        <v>22580.419166666667</v>
      </c>
      <c r="G9" s="1818">
        <f>'Statens skalatrin'!O46</f>
        <v>19564.900000000001</v>
      </c>
      <c r="H9" s="1819"/>
      <c r="I9" s="367">
        <f>G9*$I$8</f>
        <v>2739.0860000000002</v>
      </c>
      <c r="J9" s="258"/>
      <c r="K9" s="254"/>
    </row>
    <row r="10" spans="1:14" s="255" customFormat="1" ht="15" customHeight="1">
      <c r="A10" s="294">
        <v>17</v>
      </c>
      <c r="B10" s="505">
        <f>'Statens skalatrin'!D55</f>
        <v>21973.25</v>
      </c>
      <c r="C10" s="505">
        <f>'Statens skalatrin'!F55</f>
        <v>22442.92</v>
      </c>
      <c r="D10" s="505">
        <f>'Statens skalatrin'!H55</f>
        <v>22768.080000000002</v>
      </c>
      <c r="E10" s="505">
        <f>'Statens skalatrin'!J55</f>
        <v>23237.75</v>
      </c>
      <c r="F10" s="505">
        <f>'Statens skalatrin'!L55</f>
        <v>23562.75</v>
      </c>
      <c r="G10" s="1818">
        <f>'Statens skalatrin'!O55</f>
        <v>20637.32</v>
      </c>
      <c r="H10" s="1819"/>
      <c r="I10" s="367">
        <f>G10*$I$8</f>
        <v>2889.2248000000004</v>
      </c>
      <c r="J10" s="258"/>
      <c r="K10" s="254"/>
    </row>
    <row r="11" spans="1:14" s="255" customFormat="1" ht="15" customHeight="1" thickBot="1">
      <c r="A11" s="295" t="s">
        <v>171</v>
      </c>
      <c r="B11" s="506" t="e">
        <f>'Statens skalatrin'!D64+('3f (DFF, DPS, DSSV)'!#REF!/12)</f>
        <v>#REF!</v>
      </c>
      <c r="C11" s="506" t="e">
        <f>'Statens skalatrin'!F64+('3f (DFF, DPS, DSSV)'!#REF!/12)</f>
        <v>#REF!</v>
      </c>
      <c r="D11" s="506" t="e">
        <f>'Statens skalatrin'!H64+('3f (DFF, DPS, DSSV)'!#REF!/12)</f>
        <v>#REF!</v>
      </c>
      <c r="E11" s="506" t="e">
        <f>'Statens skalatrin'!J64+('3f (DFF, DPS, DSSV)'!#REF!/12)</f>
        <v>#REF!</v>
      </c>
      <c r="F11" s="506" t="e">
        <f>'Statens skalatrin'!L64+('3f (DFF, DPS, DSSV)'!#REF!/12)</f>
        <v>#REF!</v>
      </c>
      <c r="G11" s="1820">
        <f>'Statens skalatrin'!O64</f>
        <v>21800.83</v>
      </c>
      <c r="H11" s="1821"/>
      <c r="I11" s="368">
        <f>G11*$I$8</f>
        <v>3052.1162000000004</v>
      </c>
      <c r="J11" s="258"/>
      <c r="K11" s="254"/>
      <c r="N11" s="257"/>
    </row>
    <row r="12" spans="1:14" s="255" customFormat="1" ht="14">
      <c r="B12" s="256"/>
      <c r="C12" s="256"/>
      <c r="D12" s="256"/>
      <c r="E12" s="256"/>
      <c r="F12" s="256"/>
    </row>
    <row r="13" spans="1:14" s="255" customFormat="1" ht="15" thickBot="1">
      <c r="B13" s="256"/>
      <c r="C13" s="256"/>
      <c r="D13" s="256"/>
      <c r="E13" s="256"/>
      <c r="F13" s="256"/>
    </row>
    <row r="14" spans="1:14" s="255" customFormat="1" ht="19" thickBot="1">
      <c r="A14" s="1733" t="s">
        <v>311</v>
      </c>
      <c r="B14" s="1734"/>
      <c r="C14" s="1734"/>
      <c r="D14" s="1734"/>
      <c r="E14" s="1734"/>
      <c r="F14" s="1735"/>
    </row>
    <row r="15" spans="1:14" s="255" customFormat="1" ht="15" customHeight="1" thickBot="1">
      <c r="A15" s="1806" t="s">
        <v>173</v>
      </c>
      <c r="B15" s="1807"/>
      <c r="C15" s="1807"/>
      <c r="D15" s="1807"/>
      <c r="E15" s="1807"/>
      <c r="F15" s="1808"/>
    </row>
    <row r="16" spans="1:14" s="255" customFormat="1" ht="16" customHeight="1">
      <c r="A16" s="468" t="s">
        <v>57</v>
      </c>
      <c r="B16" s="469" t="s">
        <v>76</v>
      </c>
      <c r="C16" s="468" t="s">
        <v>77</v>
      </c>
      <c r="D16" s="469" t="s">
        <v>78</v>
      </c>
      <c r="E16" s="468" t="s">
        <v>79</v>
      </c>
      <c r="F16" s="470" t="s">
        <v>80</v>
      </c>
    </row>
    <row r="17" spans="1:12" s="255" customFormat="1" ht="16" customHeight="1" thickBot="1">
      <c r="A17" s="268" t="s">
        <v>234</v>
      </c>
      <c r="B17" s="507">
        <f>B9*12/1924</f>
        <v>131.63619022869023</v>
      </c>
      <c r="C17" s="508">
        <f>C9*12/1924</f>
        <v>134.35396569646571</v>
      </c>
      <c r="D17" s="507">
        <f>D9*12/1924</f>
        <v>136.23548336798336</v>
      </c>
      <c r="E17" s="508">
        <f>(E9*12)/1924</f>
        <v>138.95269750519751</v>
      </c>
      <c r="F17" s="509">
        <f>(F9*12)/1924</f>
        <v>140.83421517671519</v>
      </c>
      <c r="H17" s="254"/>
      <c r="I17" s="254"/>
      <c r="J17" s="254"/>
      <c r="K17" s="254"/>
      <c r="L17" s="254"/>
    </row>
    <row r="18" spans="1:12" s="255" customFormat="1" ht="16" customHeight="1">
      <c r="A18" s="264"/>
      <c r="B18" s="263"/>
      <c r="C18" s="263"/>
      <c r="D18" s="263"/>
      <c r="E18" s="263"/>
      <c r="F18" s="263"/>
      <c r="H18" s="254"/>
      <c r="I18" s="254"/>
      <c r="J18" s="254"/>
      <c r="K18" s="254"/>
      <c r="L18" s="254"/>
    </row>
    <row r="19" spans="1:12" s="369" customFormat="1" ht="15" thickBot="1">
      <c r="A19" s="264"/>
      <c r="B19" s="263"/>
      <c r="C19" s="263"/>
      <c r="D19" s="263"/>
      <c r="E19" s="263"/>
      <c r="F19" s="263"/>
    </row>
    <row r="20" spans="1:12" ht="20" customHeight="1">
      <c r="A20" s="1140" t="s">
        <v>174</v>
      </c>
      <c r="B20" s="1141"/>
      <c r="C20" s="1141"/>
      <c r="D20" s="1141"/>
      <c r="E20" s="1141"/>
      <c r="F20" s="1141"/>
      <c r="G20" s="1141"/>
      <c r="H20" s="1141"/>
      <c r="I20" s="1142"/>
      <c r="J20" s="245"/>
    </row>
    <row r="21" spans="1:12" ht="20" customHeight="1" thickBot="1">
      <c r="A21" s="1221" t="s">
        <v>318</v>
      </c>
      <c r="B21" s="1222"/>
      <c r="C21" s="1222"/>
      <c r="D21" s="1222"/>
      <c r="E21" s="1222"/>
      <c r="F21" s="1222"/>
      <c r="G21" s="1222"/>
      <c r="H21" s="1222"/>
      <c r="I21" s="1223"/>
      <c r="J21" s="245"/>
    </row>
    <row r="22" spans="1:12" s="255" customFormat="1" ht="30" customHeight="1" thickBot="1">
      <c r="A22" s="1721"/>
      <c r="B22" s="1722"/>
      <c r="C22" s="1722"/>
      <c r="D22" s="1722"/>
      <c r="E22" s="1722"/>
      <c r="F22" s="1722"/>
      <c r="G22" s="1722"/>
      <c r="H22" s="657" t="s">
        <v>353</v>
      </c>
      <c r="I22" s="652" t="s">
        <v>354</v>
      </c>
    </row>
    <row r="23" spans="1:12" s="255" customFormat="1" ht="15" thickBot="1">
      <c r="A23" s="1768"/>
      <c r="B23" s="1769"/>
      <c r="C23" s="1769"/>
      <c r="D23" s="1769"/>
      <c r="E23" s="1769"/>
      <c r="F23" s="1769"/>
      <c r="G23" s="1770"/>
      <c r="H23" s="585">
        <v>40999</v>
      </c>
      <c r="I23" s="659" t="str">
        <f>'Løntabel gældende fra'!D1</f>
        <v>01/04/2020</v>
      </c>
    </row>
    <row r="24" spans="1:12" s="255" customFormat="1" ht="17" customHeight="1">
      <c r="A24" s="1804" t="s">
        <v>175</v>
      </c>
      <c r="B24" s="1805"/>
      <c r="C24" s="1805"/>
      <c r="D24" s="1805"/>
      <c r="E24" s="1805"/>
      <c r="F24" s="559"/>
      <c r="G24" s="560" t="s">
        <v>167</v>
      </c>
      <c r="H24" s="171">
        <v>22.32</v>
      </c>
      <c r="I24" s="564">
        <f>H24+(H24*'Løntabel gældende fra'!$D$7%)</f>
        <v>24.624227520000002</v>
      </c>
    </row>
    <row r="25" spans="1:12" s="255" customFormat="1" ht="17" customHeight="1">
      <c r="A25" s="1728" t="s">
        <v>176</v>
      </c>
      <c r="B25" s="1729"/>
      <c r="C25" s="1729"/>
      <c r="D25" s="1729"/>
      <c r="E25" s="1729"/>
      <c r="F25" s="565"/>
      <c r="G25" s="253" t="s">
        <v>167</v>
      </c>
      <c r="H25" s="193">
        <v>39.92</v>
      </c>
      <c r="I25" s="564">
        <f>H25+(H25*'Løntabel gældende fra'!$D$7%)</f>
        <v>44.041181120000005</v>
      </c>
    </row>
    <row r="26" spans="1:12" s="255" customFormat="1" ht="17" customHeight="1">
      <c r="A26" s="1726" t="s">
        <v>177</v>
      </c>
      <c r="B26" s="1727"/>
      <c r="C26" s="1727"/>
      <c r="D26" s="1727"/>
      <c r="E26" s="1727"/>
      <c r="F26" s="1727"/>
      <c r="G26" s="253" t="s">
        <v>167</v>
      </c>
      <c r="H26" s="193">
        <v>39.92</v>
      </c>
      <c r="I26" s="564">
        <f>H26+(H26*'Løntabel gældende fra'!$D$7%)</f>
        <v>44.041181120000005</v>
      </c>
    </row>
    <row r="27" spans="1:12" s="255" customFormat="1" ht="17" customHeight="1" thickBot="1">
      <c r="A27" s="284" t="s">
        <v>166</v>
      </c>
      <c r="B27" s="283"/>
      <c r="C27" s="283"/>
      <c r="D27" s="283"/>
      <c r="E27" s="267"/>
      <c r="F27" s="267"/>
      <c r="G27" s="278" t="s">
        <v>167</v>
      </c>
      <c r="H27" s="172">
        <v>39.92</v>
      </c>
      <c r="I27" s="566">
        <f>H27+(H27*'Løntabel gældende fra'!$D$7%)</f>
        <v>44.041181120000005</v>
      </c>
    </row>
    <row r="28" spans="1:12" s="255" customFormat="1" ht="14">
      <c r="A28" s="245"/>
      <c r="B28" s="245"/>
      <c r="C28" s="245"/>
      <c r="D28" s="245"/>
      <c r="E28" s="245"/>
      <c r="F28" s="246"/>
      <c r="G28" s="245"/>
      <c r="H28" s="246"/>
      <c r="I28" s="245"/>
    </row>
    <row r="29" spans="1:12" s="255" customFormat="1" ht="15" thickBot="1">
      <c r="A29" s="245"/>
      <c r="B29" s="245"/>
      <c r="C29" s="245"/>
      <c r="D29" s="245"/>
      <c r="E29" s="245"/>
      <c r="F29" s="246"/>
      <c r="G29" s="245"/>
      <c r="H29" s="246"/>
      <c r="I29" s="245"/>
    </row>
    <row r="30" spans="1:12" s="255" customFormat="1" ht="18">
      <c r="A30" s="1140" t="s">
        <v>178</v>
      </c>
      <c r="B30" s="1141"/>
      <c r="C30" s="1141"/>
      <c r="D30" s="1141"/>
      <c r="E30" s="1141"/>
      <c r="F30" s="1141"/>
      <c r="G30" s="1141"/>
      <c r="H30" s="1141"/>
      <c r="I30" s="1142"/>
    </row>
    <row r="31" spans="1:12" s="255" customFormat="1" ht="17" thickBot="1">
      <c r="A31" s="1221" t="s">
        <v>314</v>
      </c>
      <c r="B31" s="1222"/>
      <c r="C31" s="1222"/>
      <c r="D31" s="1222"/>
      <c r="E31" s="1222"/>
      <c r="F31" s="1222"/>
      <c r="G31" s="1222"/>
      <c r="H31" s="1222"/>
      <c r="I31" s="1223"/>
    </row>
    <row r="32" spans="1:12" s="255" customFormat="1" ht="31" thickBot="1">
      <c r="A32" s="1768"/>
      <c r="B32" s="1769"/>
      <c r="C32" s="1769"/>
      <c r="D32" s="1769"/>
      <c r="E32" s="1769"/>
      <c r="F32" s="1769"/>
      <c r="G32" s="1770"/>
      <c r="H32" s="657" t="s">
        <v>353</v>
      </c>
      <c r="I32" s="652" t="s">
        <v>354</v>
      </c>
    </row>
    <row r="33" spans="1:9" s="255" customFormat="1" ht="15" thickBot="1">
      <c r="A33" s="1813"/>
      <c r="B33" s="1814"/>
      <c r="C33" s="1814"/>
      <c r="D33" s="1814"/>
      <c r="E33" s="1814"/>
      <c r="F33" s="1814"/>
      <c r="G33" s="1815"/>
      <c r="H33" s="585">
        <v>40999</v>
      </c>
      <c r="I33" s="659" t="str">
        <f>'Løntabel gældende fra'!D1</f>
        <v>01/04/2020</v>
      </c>
    </row>
    <row r="34" spans="1:9" s="255" customFormat="1" ht="16" thickBot="1">
      <c r="A34" s="1290" t="s">
        <v>302</v>
      </c>
      <c r="B34" s="1291"/>
      <c r="C34" s="1291"/>
      <c r="D34" s="1291"/>
      <c r="E34" s="1291"/>
      <c r="F34" s="596"/>
      <c r="G34" s="597" t="s">
        <v>167</v>
      </c>
      <c r="H34" s="173">
        <v>6.88</v>
      </c>
      <c r="I34" s="551">
        <f>H34+(H34*'Løntabel gældende fra'!D7%)</f>
        <v>7.5902636799999996</v>
      </c>
    </row>
    <row r="35" spans="1:9" s="255" customFormat="1" ht="14">
      <c r="A35" s="245"/>
      <c r="B35" s="245"/>
      <c r="C35" s="245"/>
      <c r="D35" s="245"/>
      <c r="E35" s="245"/>
      <c r="F35" s="246"/>
      <c r="G35" s="245"/>
      <c r="H35" s="246"/>
      <c r="I35" s="245"/>
    </row>
    <row r="36" spans="1:9" s="255" customFormat="1" ht="15" thickBot="1">
      <c r="A36" s="245"/>
      <c r="B36" s="245"/>
      <c r="C36" s="245"/>
      <c r="D36" s="245"/>
      <c r="E36" s="245"/>
      <c r="F36" s="246"/>
      <c r="G36" s="245"/>
      <c r="H36" s="246"/>
      <c r="I36" s="245"/>
    </row>
    <row r="37" spans="1:9" s="255" customFormat="1" ht="18">
      <c r="A37" s="1140" t="s">
        <v>336</v>
      </c>
      <c r="B37" s="1141"/>
      <c r="C37" s="1141"/>
      <c r="D37" s="1141"/>
      <c r="E37" s="1141"/>
      <c r="F37" s="1141"/>
      <c r="G37" s="1141"/>
      <c r="H37" s="1141"/>
      <c r="I37" s="1142"/>
    </row>
    <row r="38" spans="1:9" s="255" customFormat="1" ht="17" thickBot="1">
      <c r="A38" s="1801" t="s">
        <v>318</v>
      </c>
      <c r="B38" s="1802"/>
      <c r="C38" s="1802"/>
      <c r="D38" s="1802"/>
      <c r="E38" s="1802"/>
      <c r="F38" s="1802"/>
      <c r="G38" s="1802"/>
      <c r="H38" s="1802"/>
      <c r="I38" s="1803"/>
    </row>
    <row r="39" spans="1:9" s="255" customFormat="1" ht="33" customHeight="1">
      <c r="A39" s="1774"/>
      <c r="B39" s="1775"/>
      <c r="C39" s="1775"/>
      <c r="D39" s="1775"/>
      <c r="E39" s="1775"/>
      <c r="F39" s="1775"/>
      <c r="G39" s="1776"/>
      <c r="H39" s="655" t="s">
        <v>132</v>
      </c>
      <c r="I39" s="651" t="s">
        <v>352</v>
      </c>
    </row>
    <row r="40" spans="1:9" s="255" customFormat="1" ht="15" thickBot="1">
      <c r="A40" s="1810"/>
      <c r="B40" s="1811"/>
      <c r="C40" s="1811"/>
      <c r="D40" s="1811"/>
      <c r="E40" s="1811"/>
      <c r="F40" s="1811"/>
      <c r="G40" s="1812"/>
      <c r="H40" s="585">
        <v>40999</v>
      </c>
      <c r="I40" s="659" t="str">
        <f>'Løntabel gældende fra'!D1</f>
        <v>01/04/2020</v>
      </c>
    </row>
    <row r="41" spans="1:9" s="255" customFormat="1" ht="15" thickBot="1">
      <c r="A41" s="1290" t="s">
        <v>303</v>
      </c>
      <c r="B41" s="1291"/>
      <c r="C41" s="1291"/>
      <c r="D41" s="1291"/>
      <c r="E41" s="1291"/>
      <c r="F41" s="596"/>
      <c r="G41" s="597"/>
      <c r="H41" s="173">
        <v>655</v>
      </c>
      <c r="I41" s="551">
        <f>H41+(H41*'Løntabel gældende fra'!D7%)</f>
        <v>722.61958000000004</v>
      </c>
    </row>
    <row r="42" spans="1:9" s="255" customFormat="1" ht="14">
      <c r="A42" s="245"/>
      <c r="B42" s="245"/>
      <c r="C42" s="245"/>
      <c r="D42" s="245"/>
      <c r="E42" s="245"/>
      <c r="F42" s="246"/>
      <c r="G42" s="245"/>
      <c r="H42" s="246"/>
      <c r="I42" s="245"/>
    </row>
    <row r="43" spans="1:9" s="255" customFormat="1" ht="15" thickBot="1">
      <c r="A43" s="245"/>
      <c r="B43" s="245"/>
      <c r="C43" s="245"/>
      <c r="D43" s="245"/>
      <c r="E43" s="245"/>
      <c r="F43" s="246"/>
      <c r="G43" s="245"/>
      <c r="H43" s="246"/>
      <c r="I43" s="245"/>
    </row>
    <row r="44" spans="1:9" s="255" customFormat="1" ht="18">
      <c r="A44" s="1140" t="s">
        <v>335</v>
      </c>
      <c r="B44" s="1141"/>
      <c r="C44" s="1141"/>
      <c r="D44" s="1141"/>
      <c r="E44" s="1141"/>
      <c r="F44" s="1141"/>
      <c r="G44" s="1141"/>
      <c r="H44" s="1141"/>
      <c r="I44" s="1142"/>
    </row>
    <row r="45" spans="1:9" s="255" customFormat="1" ht="17" thickBot="1">
      <c r="A45" s="1801" t="s">
        <v>314</v>
      </c>
      <c r="B45" s="1802"/>
      <c r="C45" s="1802"/>
      <c r="D45" s="1802"/>
      <c r="E45" s="1802"/>
      <c r="F45" s="1802"/>
      <c r="G45" s="1802"/>
      <c r="H45" s="1802"/>
      <c r="I45" s="1803"/>
    </row>
    <row r="46" spans="1:9" s="255" customFormat="1" ht="30">
      <c r="A46" s="1287"/>
      <c r="B46" s="1288"/>
      <c r="C46" s="1288"/>
      <c r="D46" s="1288"/>
      <c r="E46" s="1288"/>
      <c r="F46" s="1288"/>
      <c r="G46" s="1289"/>
      <c r="H46" s="655" t="s">
        <v>132</v>
      </c>
      <c r="I46" s="651" t="s">
        <v>352</v>
      </c>
    </row>
    <row r="47" spans="1:9" s="255" customFormat="1" ht="15" thickBot="1">
      <c r="A47" s="1290"/>
      <c r="B47" s="1291"/>
      <c r="C47" s="1291"/>
      <c r="D47" s="1291"/>
      <c r="E47" s="1291"/>
      <c r="F47" s="1291"/>
      <c r="G47" s="1292"/>
      <c r="H47" s="585">
        <v>40999</v>
      </c>
      <c r="I47" s="659" t="str">
        <f>'Løntabel gældende fra'!D1</f>
        <v>01/04/2020</v>
      </c>
    </row>
    <row r="48" spans="1:9" s="255" customFormat="1" ht="15" thickBot="1">
      <c r="A48" s="1290" t="s">
        <v>186</v>
      </c>
      <c r="B48" s="1291"/>
      <c r="C48" s="1291"/>
      <c r="D48" s="1291"/>
      <c r="E48" s="1291"/>
      <c r="F48" s="596"/>
      <c r="G48" s="597"/>
      <c r="H48" s="173">
        <v>10500</v>
      </c>
      <c r="I48" s="551">
        <f>H48+(H48*'Løntabel gældende fra'!D7%)</f>
        <v>11583.977999999999</v>
      </c>
    </row>
    <row r="49" spans="1:10" s="255" customFormat="1" ht="14"/>
    <row r="50" spans="1:10" s="255" customFormat="1" ht="15" thickBot="1"/>
    <row r="51" spans="1:10" s="255" customFormat="1" ht="18">
      <c r="A51" s="1140" t="s">
        <v>334</v>
      </c>
      <c r="B51" s="1141"/>
      <c r="C51" s="1141"/>
      <c r="D51" s="1141"/>
      <c r="E51" s="1141"/>
      <c r="F51" s="1141"/>
      <c r="G51" s="1141"/>
      <c r="H51" s="1141"/>
      <c r="I51" s="1142"/>
    </row>
    <row r="52" spans="1:10" s="255" customFormat="1" ht="17" thickBot="1">
      <c r="A52" s="1221" t="s">
        <v>314</v>
      </c>
      <c r="B52" s="1222"/>
      <c r="C52" s="1222"/>
      <c r="D52" s="1222"/>
      <c r="E52" s="1222"/>
      <c r="F52" s="1222"/>
      <c r="G52" s="1222"/>
      <c r="H52" s="1222"/>
      <c r="I52" s="1223"/>
    </row>
    <row r="53" spans="1:10" s="255" customFormat="1" ht="14">
      <c r="A53" s="1771" t="s">
        <v>418</v>
      </c>
      <c r="B53" s="1772"/>
      <c r="C53" s="1772"/>
      <c r="D53" s="1772"/>
      <c r="E53" s="1772"/>
      <c r="F53" s="1772"/>
      <c r="G53" s="1773"/>
      <c r="H53" s="591" t="s">
        <v>99</v>
      </c>
      <c r="I53" s="593" t="s">
        <v>104</v>
      </c>
    </row>
    <row r="54" spans="1:10" s="255" customFormat="1" ht="15" thickBot="1">
      <c r="A54" s="1743"/>
      <c r="B54" s="1744"/>
      <c r="C54" s="1744"/>
      <c r="D54" s="1744"/>
      <c r="E54" s="1744"/>
      <c r="F54" s="1744"/>
      <c r="G54" s="1756"/>
      <c r="H54" s="594">
        <v>40999</v>
      </c>
      <c r="I54" s="659" t="str">
        <f>'Løntabel gældende fra'!D1</f>
        <v>01/04/2020</v>
      </c>
    </row>
    <row r="55" spans="1:10" s="255" customFormat="1" ht="15" thickBot="1">
      <c r="A55" s="1757" t="s">
        <v>309</v>
      </c>
      <c r="B55" s="1758"/>
      <c r="C55" s="1758"/>
      <c r="D55" s="1758"/>
      <c r="E55" s="1758"/>
      <c r="F55" s="251"/>
      <c r="G55" s="262"/>
      <c r="H55" s="321">
        <v>0</v>
      </c>
      <c r="I55" s="314">
        <v>0</v>
      </c>
    </row>
    <row r="56" spans="1:10" s="255" customFormat="1" ht="14"/>
    <row r="57" spans="1:10" s="255" customFormat="1" ht="14">
      <c r="A57" s="1809"/>
      <c r="B57" s="1809"/>
      <c r="C57" s="1809"/>
      <c r="D57" s="1809"/>
      <c r="E57" s="1809"/>
      <c r="F57" s="1809"/>
      <c r="G57" s="1809"/>
      <c r="H57" s="1809"/>
      <c r="I57" s="1809"/>
      <c r="J57" s="1809"/>
    </row>
    <row r="58" spans="1:10" s="255" customFormat="1" ht="14">
      <c r="A58" s="552"/>
    </row>
    <row r="59" spans="1:10" s="255" customFormat="1" ht="14"/>
    <row r="60" spans="1:10" s="255" customFormat="1" ht="14"/>
    <row r="61" spans="1:10" s="255" customFormat="1" ht="14"/>
    <row r="62" spans="1:10" s="255" customFormat="1" ht="14"/>
    <row r="72" s="255" customFormat="1" ht="14"/>
    <row r="73" s="255" customFormat="1" ht="14"/>
    <row r="74" s="255" customFormat="1" ht="14"/>
    <row r="75" s="255" customFormat="1" ht="14"/>
    <row r="76" s="255" customFormat="1" ht="14"/>
    <row r="77" s="255" customFormat="1" ht="14"/>
    <row r="78" s="255" customFormat="1" ht="14"/>
    <row r="79" s="255" customFormat="1" ht="14"/>
    <row r="80" s="255" customFormat="1" ht="14"/>
    <row r="81" s="255" customFormat="1" ht="14"/>
    <row r="82" s="255" customFormat="1" ht="14"/>
    <row r="83" s="255" customFormat="1" ht="14"/>
    <row r="84" s="255" customFormat="1" ht="14"/>
    <row r="85" s="255" customFormat="1" ht="14"/>
    <row r="86" s="255" customFormat="1" ht="14"/>
    <row r="87" s="255" customFormat="1" ht="14"/>
    <row r="88" s="255" customFormat="1" ht="14"/>
    <row r="89" s="255" customFormat="1" ht="14"/>
    <row r="90" s="255" customFormat="1" ht="14"/>
    <row r="91" s="255" customFormat="1" ht="14"/>
    <row r="92" s="255" customFormat="1" ht="14"/>
    <row r="93" s="255" customFormat="1" ht="14"/>
    <row r="94" s="255" customFormat="1" ht="14"/>
    <row r="95" s="255" customFormat="1" ht="14"/>
    <row r="96" s="255" customFormat="1" ht="14"/>
    <row r="97" s="255" customFormat="1" ht="14"/>
    <row r="98" s="255" customFormat="1" ht="14"/>
    <row r="99" s="255" customFormat="1" ht="14"/>
    <row r="100" s="255" customFormat="1" ht="14"/>
    <row r="101" s="255" customFormat="1" ht="14"/>
    <row r="102" s="255" customFormat="1" ht="14"/>
    <row r="103" s="255" customFormat="1" ht="14"/>
    <row r="104" s="255" customFormat="1" ht="14"/>
    <row r="105" s="255" customFormat="1" ht="14"/>
    <row r="106" s="255" customFormat="1" ht="14"/>
    <row r="107" s="255" customFormat="1" ht="14"/>
    <row r="108" s="255" customFormat="1" ht="14"/>
    <row r="109" s="255" customFormat="1" ht="14"/>
    <row r="110" s="255" customFormat="1" ht="14"/>
    <row r="111" s="255" customFormat="1" ht="14"/>
    <row r="112" s="255" customFormat="1" ht="14"/>
    <row r="113" s="255" customFormat="1" ht="14"/>
    <row r="114" s="255" customFormat="1" ht="14"/>
    <row r="115" s="255" customFormat="1" ht="14"/>
    <row r="116" s="255" customFormat="1" ht="14"/>
    <row r="117" s="255" customFormat="1" ht="14"/>
    <row r="118" s="255" customFormat="1" ht="14"/>
    <row r="119" s="255" customFormat="1" ht="14"/>
    <row r="120" s="255" customFormat="1" ht="14"/>
    <row r="121" s="255" customFormat="1" ht="14"/>
    <row r="122" s="255" customFormat="1" ht="14"/>
    <row r="123" s="255" customFormat="1" ht="14"/>
    <row r="124" s="255" customFormat="1" ht="14"/>
    <row r="125" s="255" customFormat="1" ht="14"/>
    <row r="126" s="255" customFormat="1" ht="14"/>
    <row r="127" s="255" customFormat="1" ht="14"/>
    <row r="128" s="255" customFormat="1" ht="14"/>
    <row r="129" s="255" customFormat="1" ht="14"/>
    <row r="130" s="255" customFormat="1" ht="14"/>
    <row r="131" s="255" customFormat="1" ht="14"/>
    <row r="132" s="255" customFormat="1" ht="14"/>
    <row r="133" s="255" customFormat="1" ht="14"/>
    <row r="134" s="255" customFormat="1" ht="14"/>
    <row r="135" s="255" customFormat="1" ht="14"/>
    <row r="136" s="255" customFormat="1" ht="14"/>
    <row r="137" s="255" customFormat="1" ht="14"/>
    <row r="138" s="255" customFormat="1" ht="14"/>
    <row r="139" s="255" customFormat="1" ht="14"/>
    <row r="140" s="255" customFormat="1" ht="14"/>
    <row r="141" s="255" customFormat="1" ht="14"/>
    <row r="142" s="255" customFormat="1" ht="14"/>
    <row r="143" s="255" customFormat="1" ht="14"/>
    <row r="144" s="255" customFormat="1" ht="14"/>
    <row r="145" s="255" customFormat="1" ht="14"/>
    <row r="146" s="255" customFormat="1" ht="14"/>
    <row r="147" s="255" customFormat="1" ht="14"/>
    <row r="148" s="255" customFormat="1" ht="14"/>
    <row r="149" s="255" customFormat="1" ht="14"/>
    <row r="150" s="255" customFormat="1" ht="14"/>
    <row r="151" s="255" customFormat="1" ht="14"/>
    <row r="152" s="255" customFormat="1" ht="14"/>
    <row r="153" s="255" customFormat="1" ht="14"/>
  </sheetData>
  <sheetProtection sheet="1" objects="1" scenarios="1"/>
  <mergeCells count="35"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82"/>
  <sheetViews>
    <sheetView view="pageBreakPreview" workbookViewId="0">
      <selection activeCell="H77" sqref="H77"/>
    </sheetView>
  </sheetViews>
  <sheetFormatPr baseColWidth="10" defaultColWidth="8.83203125" defaultRowHeight="13"/>
  <cols>
    <col min="1" max="2" width="11.6640625" style="225" customWidth="1"/>
    <col min="3" max="4" width="13.83203125" style="225" customWidth="1"/>
    <col min="5" max="5" width="13.83203125" style="226" customWidth="1"/>
    <col min="6" max="6" width="13.83203125" style="225" customWidth="1"/>
    <col min="7" max="8" width="13.83203125" style="227" customWidth="1"/>
    <col min="9" max="10" width="13.83203125" style="225" customWidth="1"/>
    <col min="11" max="11" width="11.6640625" style="225" customWidth="1"/>
    <col min="12" max="16384" width="8.83203125" style="225"/>
  </cols>
  <sheetData>
    <row r="1" spans="1:11" s="2" customFormat="1" ht="22" customHeight="1">
      <c r="A1" s="1230" t="s">
        <v>19</v>
      </c>
      <c r="B1" s="1231"/>
      <c r="C1" s="1231"/>
      <c r="D1" s="1231"/>
      <c r="E1" s="1231"/>
      <c r="F1" s="1231"/>
      <c r="G1" s="1231"/>
      <c r="H1" s="1231"/>
      <c r="I1" s="1231"/>
      <c r="J1" s="1232"/>
    </row>
    <row r="2" spans="1:11" s="2" customFormat="1" ht="22" customHeight="1">
      <c r="A2" s="1241" t="s">
        <v>470</v>
      </c>
      <c r="B2" s="1242"/>
      <c r="C2" s="1242"/>
      <c r="D2" s="1242"/>
      <c r="E2" s="1242"/>
      <c r="F2" s="1242"/>
      <c r="G2" s="1242"/>
      <c r="H2" s="1242"/>
      <c r="I2" s="1242"/>
      <c r="J2" s="1243"/>
    </row>
    <row r="3" spans="1:11" s="598" customFormat="1" ht="25" customHeight="1">
      <c r="A3" s="1241" t="str">
        <f>'Forside 1'!A6:I6</f>
        <v>Gældende fra 1. april 2020</v>
      </c>
      <c r="B3" s="1242"/>
      <c r="C3" s="1242"/>
      <c r="D3" s="1242"/>
      <c r="E3" s="1242"/>
      <c r="F3" s="1242"/>
      <c r="G3" s="1242"/>
      <c r="H3" s="1242"/>
      <c r="I3" s="1242"/>
      <c r="J3" s="1243"/>
    </row>
    <row r="4" spans="1:11" s="2" customFormat="1" ht="35" customHeight="1" thickBot="1">
      <c r="A4" s="1831" t="s">
        <v>471</v>
      </c>
      <c r="B4" s="1832"/>
      <c r="C4" s="1832"/>
      <c r="D4" s="1832"/>
      <c r="E4" s="1832"/>
      <c r="F4" s="1832"/>
      <c r="G4" s="1832"/>
      <c r="H4" s="1832"/>
      <c r="I4" s="1832"/>
      <c r="J4" s="1833"/>
    </row>
    <row r="5" spans="1:11" ht="21" thickBot="1">
      <c r="A5" s="1767"/>
      <c r="B5" s="1767"/>
      <c r="C5" s="1767"/>
      <c r="D5" s="1767"/>
      <c r="E5" s="1767"/>
      <c r="F5" s="1767"/>
      <c r="G5" s="1767"/>
      <c r="H5" s="1767"/>
    </row>
    <row r="6" spans="1:11" ht="18">
      <c r="A6" s="1736" t="s">
        <v>472</v>
      </c>
      <c r="B6" s="1737"/>
      <c r="C6" s="1737"/>
      <c r="D6" s="1737"/>
      <c r="E6" s="1737"/>
      <c r="F6" s="1737"/>
      <c r="G6" s="1737"/>
      <c r="H6" s="1737"/>
      <c r="I6" s="1737"/>
      <c r="J6" s="1738"/>
    </row>
    <row r="7" spans="1:11" ht="17" thickBot="1">
      <c r="A7" s="1825" t="s">
        <v>473</v>
      </c>
      <c r="B7" s="1826"/>
      <c r="C7" s="1826"/>
      <c r="D7" s="1826"/>
      <c r="E7" s="1826"/>
      <c r="F7" s="1826"/>
      <c r="G7" s="1826"/>
      <c r="H7" s="1826"/>
      <c r="I7" s="1826"/>
      <c r="J7" s="1827"/>
    </row>
    <row r="8" spans="1:11" ht="16" customHeight="1" thickBot="1">
      <c r="A8" s="1828" t="s">
        <v>486</v>
      </c>
      <c r="B8" s="1829"/>
      <c r="C8" s="1829"/>
      <c r="D8" s="1829"/>
      <c r="E8" s="1829"/>
      <c r="F8" s="1830"/>
      <c r="G8" s="1828" t="s">
        <v>170</v>
      </c>
      <c r="H8" s="1829"/>
      <c r="I8" s="1829"/>
      <c r="J8" s="1830"/>
    </row>
    <row r="9" spans="1:11" ht="30" customHeight="1" thickBot="1">
      <c r="A9" s="860" t="s">
        <v>57</v>
      </c>
      <c r="B9" s="861" t="s">
        <v>76</v>
      </c>
      <c r="C9" s="862" t="s">
        <v>77</v>
      </c>
      <c r="D9" s="862" t="s">
        <v>78</v>
      </c>
      <c r="E9" s="862" t="s">
        <v>79</v>
      </c>
      <c r="F9" s="863" t="s">
        <v>80</v>
      </c>
      <c r="G9" s="860" t="s">
        <v>187</v>
      </c>
      <c r="H9" s="861" t="s">
        <v>189</v>
      </c>
      <c r="I9" s="862" t="s">
        <v>190</v>
      </c>
      <c r="J9" s="868">
        <v>0.15</v>
      </c>
    </row>
    <row r="10" spans="1:11" ht="16" customHeight="1">
      <c r="A10" s="390">
        <v>9</v>
      </c>
      <c r="B10" s="857">
        <f>'Statens skalatrin'!D31</f>
        <v>19290.919999999998</v>
      </c>
      <c r="C10" s="858">
        <f>'Statens skalatrin'!F31</f>
        <v>19675.75</v>
      </c>
      <c r="D10" s="858">
        <f>'Statens skalatrin'!H31</f>
        <v>19942.5</v>
      </c>
      <c r="E10" s="858">
        <f>'Statens skalatrin'!J31</f>
        <v>20327.330000000002</v>
      </c>
      <c r="F10" s="859">
        <f>'Statens skalatrin'!L31</f>
        <v>20593.919999999998</v>
      </c>
      <c r="G10" s="830">
        <f>'Statens skalatrin'!O31</f>
        <v>17960.25</v>
      </c>
      <c r="H10" s="864">
        <f>J10*1/3</f>
        <v>898.01333333333332</v>
      </c>
      <c r="I10" s="865">
        <f>J10*2/3</f>
        <v>1796.0266666666666</v>
      </c>
      <c r="J10" s="866">
        <f>ROUND(G10*$J$9,2)</f>
        <v>2694.04</v>
      </c>
    </row>
    <row r="11" spans="1:11" ht="16" customHeight="1">
      <c r="A11" s="856">
        <v>10</v>
      </c>
      <c r="B11" s="854">
        <f>'Statens skalatrin'!D34</f>
        <v>19614.919999999998</v>
      </c>
      <c r="C11" s="835">
        <f>'Statens skalatrin'!F34</f>
        <v>20009.580000000002</v>
      </c>
      <c r="D11" s="835">
        <f>'Statens skalatrin'!H34</f>
        <v>20282.75</v>
      </c>
      <c r="E11" s="835">
        <f>'Statens skalatrin'!J34</f>
        <v>20677.330000000002</v>
      </c>
      <c r="F11" s="842">
        <f>'Statens skalatrin'!L34</f>
        <v>20950.669999999998</v>
      </c>
      <c r="G11" s="802">
        <f>'Statens skalatrin'!O34</f>
        <v>18264.03</v>
      </c>
      <c r="H11" s="839">
        <f t="shared" ref="H11:H15" si="0">J11*1/3</f>
        <v>913.19999999999993</v>
      </c>
      <c r="I11" s="834">
        <f t="shared" ref="I11:I15" si="1">J11*2/3</f>
        <v>1826.3999999999999</v>
      </c>
      <c r="J11" s="866">
        <f t="shared" ref="J11:J15" si="2">ROUND(G11*$J$9,2)</f>
        <v>2739.6</v>
      </c>
    </row>
    <row r="12" spans="1:11" ht="16" customHeight="1">
      <c r="A12" s="856">
        <v>11</v>
      </c>
      <c r="B12" s="854">
        <f>'Statens skalatrin'!D37</f>
        <v>19870.580000000002</v>
      </c>
      <c r="C12" s="835">
        <f>'Statens skalatrin'!F37</f>
        <v>20275</v>
      </c>
      <c r="D12" s="835">
        <f>'Statens skalatrin'!H37</f>
        <v>20555</v>
      </c>
      <c r="E12" s="835">
        <f>'Statens skalatrin'!J37</f>
        <v>20959.5</v>
      </c>
      <c r="F12" s="842">
        <f>'Statens skalatrin'!L37</f>
        <v>21239.42</v>
      </c>
      <c r="G12" s="802">
        <f>'Statens skalatrin'!O37</f>
        <v>18576.099999999999</v>
      </c>
      <c r="H12" s="839">
        <f t="shared" si="0"/>
        <v>928.80666666666673</v>
      </c>
      <c r="I12" s="834">
        <f t="shared" si="1"/>
        <v>1857.6133333333335</v>
      </c>
      <c r="J12" s="866">
        <f t="shared" si="2"/>
        <v>2786.42</v>
      </c>
    </row>
    <row r="13" spans="1:11" ht="16" customHeight="1">
      <c r="A13" s="856">
        <v>12</v>
      </c>
      <c r="B13" s="854">
        <f>'Statens skalatrin'!D40</f>
        <v>20212.669999999998</v>
      </c>
      <c r="C13" s="835">
        <f>'Statens skalatrin'!F40</f>
        <v>20627.330000000002</v>
      </c>
      <c r="D13" s="835">
        <f>'Statens skalatrin'!H40</f>
        <v>20914.5</v>
      </c>
      <c r="E13" s="835">
        <f>'Statens skalatrin'!J40</f>
        <v>21328.92</v>
      </c>
      <c r="F13" s="842">
        <f>'Statens skalatrin'!L40</f>
        <v>21616</v>
      </c>
      <c r="G13" s="802">
        <f>'Statens skalatrin'!O40</f>
        <v>18896.79</v>
      </c>
      <c r="H13" s="839">
        <f t="shared" si="0"/>
        <v>944.84</v>
      </c>
      <c r="I13" s="834">
        <f t="shared" si="1"/>
        <v>1889.68</v>
      </c>
      <c r="J13" s="866">
        <f t="shared" si="2"/>
        <v>2834.52</v>
      </c>
    </row>
    <row r="14" spans="1:11" ht="16" customHeight="1">
      <c r="A14" s="856">
        <v>13</v>
      </c>
      <c r="B14" s="854">
        <f>'Statens skalatrin'!D43</f>
        <v>20564.419999999998</v>
      </c>
      <c r="C14" s="835">
        <f>'Statens skalatrin'!F43</f>
        <v>20989.42</v>
      </c>
      <c r="D14" s="835">
        <f>'Statens skalatrin'!H43</f>
        <v>21283.67</v>
      </c>
      <c r="E14" s="835">
        <f>'Statens skalatrin'!J43</f>
        <v>21708.83</v>
      </c>
      <c r="F14" s="842">
        <f>'Statens skalatrin'!L43</f>
        <v>22002.92</v>
      </c>
      <c r="G14" s="802">
        <f>'Statens skalatrin'!O43</f>
        <v>19226.29</v>
      </c>
      <c r="H14" s="839">
        <f t="shared" si="0"/>
        <v>961.31333333333339</v>
      </c>
      <c r="I14" s="834">
        <f t="shared" si="1"/>
        <v>1922.6266666666668</v>
      </c>
      <c r="J14" s="866">
        <f t="shared" si="2"/>
        <v>2883.94</v>
      </c>
    </row>
    <row r="15" spans="1:11" ht="16" customHeight="1" thickBot="1">
      <c r="A15" s="313">
        <v>14</v>
      </c>
      <c r="B15" s="855">
        <f>'Statens skalatrin'!D46</f>
        <v>20925.75</v>
      </c>
      <c r="C15" s="845">
        <f>'Statens skalatrin'!F46</f>
        <v>21361.5</v>
      </c>
      <c r="D15" s="845">
        <f>'Statens skalatrin'!H46</f>
        <v>21663.17</v>
      </c>
      <c r="E15" s="845">
        <f>'Statens skalatrin'!J46</f>
        <v>22098.83</v>
      </c>
      <c r="F15" s="846">
        <f>'Statens skalatrin'!L46</f>
        <v>22400.5</v>
      </c>
      <c r="G15" s="847">
        <f>'Statens skalatrin'!O46</f>
        <v>19564.900000000001</v>
      </c>
      <c r="H15" s="848">
        <f t="shared" si="0"/>
        <v>978.24666666666656</v>
      </c>
      <c r="I15" s="849">
        <f t="shared" si="1"/>
        <v>1956.4933333333331</v>
      </c>
      <c r="J15" s="866">
        <f t="shared" si="2"/>
        <v>2934.74</v>
      </c>
    </row>
    <row r="16" spans="1:11" ht="15" customHeight="1" thickBot="1">
      <c r="A16" s="928"/>
      <c r="B16" s="905"/>
      <c r="C16" s="850"/>
      <c r="D16" s="850"/>
      <c r="E16" s="850"/>
      <c r="F16" s="850"/>
      <c r="G16" s="869"/>
      <c r="H16" s="851"/>
      <c r="I16" s="851"/>
      <c r="J16" s="851"/>
      <c r="K16" s="851"/>
    </row>
    <row r="17" spans="1:11" ht="20" customHeight="1">
      <c r="A17" s="1736" t="s">
        <v>474</v>
      </c>
      <c r="B17" s="1737"/>
      <c r="C17" s="1737"/>
      <c r="D17" s="1737"/>
      <c r="E17" s="1737"/>
      <c r="F17" s="1737"/>
      <c r="G17" s="1737"/>
      <c r="H17" s="1737"/>
      <c r="I17" s="1737"/>
      <c r="J17" s="1738"/>
    </row>
    <row r="18" spans="1:11" ht="20" customHeight="1" thickBot="1">
      <c r="A18" s="1825" t="s">
        <v>473</v>
      </c>
      <c r="B18" s="1826"/>
      <c r="C18" s="1826"/>
      <c r="D18" s="1826"/>
      <c r="E18" s="1826"/>
      <c r="F18" s="1826"/>
      <c r="G18" s="1826"/>
      <c r="H18" s="1826"/>
      <c r="I18" s="1826"/>
      <c r="J18" s="1827"/>
    </row>
    <row r="19" spans="1:11" ht="20" customHeight="1" thickBot="1">
      <c r="A19" s="1828" t="s">
        <v>486</v>
      </c>
      <c r="B19" s="1829"/>
      <c r="C19" s="1829"/>
      <c r="D19" s="1829"/>
      <c r="E19" s="1829"/>
      <c r="F19" s="1830"/>
      <c r="G19" s="1828" t="s">
        <v>170</v>
      </c>
      <c r="H19" s="1851"/>
      <c r="I19" s="1851"/>
      <c r="J19" s="1852"/>
    </row>
    <row r="20" spans="1:11" ht="30" customHeight="1" thickBot="1">
      <c r="A20" s="860" t="s">
        <v>57</v>
      </c>
      <c r="B20" s="882" t="s">
        <v>76</v>
      </c>
      <c r="C20" s="877" t="s">
        <v>77</v>
      </c>
      <c r="D20" s="877" t="s">
        <v>78</v>
      </c>
      <c r="E20" s="877" t="s">
        <v>79</v>
      </c>
      <c r="F20" s="878" t="s">
        <v>80</v>
      </c>
      <c r="G20" s="477" t="s">
        <v>187</v>
      </c>
      <c r="H20" s="867" t="s">
        <v>189</v>
      </c>
      <c r="I20" s="862" t="s">
        <v>190</v>
      </c>
      <c r="J20" s="868">
        <v>0.15</v>
      </c>
    </row>
    <row r="21" spans="1:11" ht="16" customHeight="1">
      <c r="A21" s="870">
        <v>16</v>
      </c>
      <c r="B21" s="879">
        <f>'Statens skalatrin'!D52</f>
        <v>21581.42</v>
      </c>
      <c r="C21" s="880">
        <f>'Statens skalatrin'!F52</f>
        <v>22039.42</v>
      </c>
      <c r="D21" s="880">
        <f>'Statens skalatrin'!H52</f>
        <v>22356.58</v>
      </c>
      <c r="E21" s="880">
        <f>'Statens skalatrin'!J52</f>
        <v>22814.58</v>
      </c>
      <c r="F21" s="881">
        <f>'Statens skalatrin'!L52</f>
        <v>23131.75</v>
      </c>
      <c r="G21" s="874">
        <f>'Statens skalatrin'!O52</f>
        <v>20270.169999999998</v>
      </c>
      <c r="H21" s="864">
        <f>J21*1/3</f>
        <v>1013.5100000000001</v>
      </c>
      <c r="I21" s="865">
        <f>J21*2/3</f>
        <v>2027.0200000000002</v>
      </c>
      <c r="J21" s="866">
        <f>ROUND(G21*$J$9,2)</f>
        <v>3040.53</v>
      </c>
    </row>
    <row r="22" spans="1:11" ht="16" customHeight="1">
      <c r="A22" s="838">
        <v>18</v>
      </c>
      <c r="B22" s="841">
        <f>'Statens skalatrin'!D58</f>
        <v>22376.080000000002</v>
      </c>
      <c r="C22" s="835">
        <f>'Statens skalatrin'!F58</f>
        <v>22857.75</v>
      </c>
      <c r="D22" s="835">
        <f>'Statens skalatrin'!H58</f>
        <v>23191.08</v>
      </c>
      <c r="E22" s="835">
        <f>'Statens skalatrin'!J58</f>
        <v>23672.67</v>
      </c>
      <c r="F22" s="842">
        <f>'Statens skalatrin'!L58</f>
        <v>24005.919999999998</v>
      </c>
      <c r="G22" s="875">
        <f>'Statens skalatrin'!O58</f>
        <v>21014.76</v>
      </c>
      <c r="H22" s="839">
        <f t="shared" ref="H22:H26" si="3">J22*1/3</f>
        <v>1050.7366666666667</v>
      </c>
      <c r="I22" s="834">
        <f t="shared" ref="I22:I26" si="4">J22*2/3</f>
        <v>2101.4733333333334</v>
      </c>
      <c r="J22" s="866">
        <f t="shared" ref="J22:J26" si="5">ROUND(G22*$J$9,2)</f>
        <v>3152.21</v>
      </c>
    </row>
    <row r="23" spans="1:11" s="600" customFormat="1" ht="16" customHeight="1">
      <c r="A23" s="838">
        <v>20</v>
      </c>
      <c r="B23" s="841">
        <f>'Statens skalatrin'!D64</f>
        <v>22988.92</v>
      </c>
      <c r="C23" s="835">
        <f>'Statens skalatrin'!F64</f>
        <v>23495.25</v>
      </c>
      <c r="D23" s="835">
        <f>'Statens skalatrin'!H64</f>
        <v>23845.919999999998</v>
      </c>
      <c r="E23" s="835">
        <f>'Statens skalatrin'!J64</f>
        <v>24352.25</v>
      </c>
      <c r="F23" s="842">
        <f>'Statens skalatrin'!L64</f>
        <v>24702.75</v>
      </c>
      <c r="G23" s="875">
        <f>'Statens skalatrin'!O64</f>
        <v>21800.83</v>
      </c>
      <c r="H23" s="839">
        <f t="shared" si="3"/>
        <v>1090.04</v>
      </c>
      <c r="I23" s="834">
        <f t="shared" si="4"/>
        <v>2180.08</v>
      </c>
      <c r="J23" s="866">
        <f t="shared" si="5"/>
        <v>3270.12</v>
      </c>
    </row>
    <row r="24" spans="1:11" s="600" customFormat="1" ht="16" customHeight="1">
      <c r="A24" s="838">
        <v>22</v>
      </c>
      <c r="B24" s="841">
        <f>'Statens skalatrin'!D70</f>
        <v>23722.080000000002</v>
      </c>
      <c r="C24" s="835">
        <f>'Statens skalatrin'!F70</f>
        <v>24241.42</v>
      </c>
      <c r="D24" s="835">
        <f>'Statens skalatrin'!H70</f>
        <v>24601</v>
      </c>
      <c r="E24" s="835">
        <f>'Statens skalatrin'!J70</f>
        <v>25120.33</v>
      </c>
      <c r="F24" s="842">
        <f>'Statens skalatrin'!L70</f>
        <v>25479.919999999998</v>
      </c>
      <c r="G24" s="875">
        <f>'Statens skalatrin'!O70</f>
        <v>22619.4</v>
      </c>
      <c r="H24" s="839">
        <f t="shared" si="3"/>
        <v>1130.97</v>
      </c>
      <c r="I24" s="834">
        <f t="shared" si="4"/>
        <v>2261.94</v>
      </c>
      <c r="J24" s="866">
        <f t="shared" si="5"/>
        <v>3392.91</v>
      </c>
    </row>
    <row r="25" spans="1:11" ht="16" customHeight="1">
      <c r="A25" s="838">
        <v>24</v>
      </c>
      <c r="B25" s="841">
        <f>'Statens skalatrin'!D76</f>
        <v>24489.25</v>
      </c>
      <c r="C25" s="835">
        <f>'Statens skalatrin'!F76</f>
        <v>24980</v>
      </c>
      <c r="D25" s="835">
        <f>'Statens skalatrin'!H76</f>
        <v>25319.83</v>
      </c>
      <c r="E25" s="835">
        <f>'Statens skalatrin'!J76</f>
        <v>25810.67</v>
      </c>
      <c r="F25" s="842">
        <f>'Statens skalatrin'!L76</f>
        <v>26150.5</v>
      </c>
      <c r="G25" s="875">
        <f>'Statens skalatrin'!O76</f>
        <v>23447.26</v>
      </c>
      <c r="H25" s="839">
        <f t="shared" si="3"/>
        <v>1172.3633333333335</v>
      </c>
      <c r="I25" s="834">
        <f t="shared" si="4"/>
        <v>2344.7266666666669</v>
      </c>
      <c r="J25" s="866">
        <f t="shared" si="5"/>
        <v>3517.09</v>
      </c>
    </row>
    <row r="26" spans="1:11" ht="16" customHeight="1" thickBot="1">
      <c r="A26" s="852">
        <v>26</v>
      </c>
      <c r="B26" s="844">
        <f>'Statens skalatrin'!D82</f>
        <v>25294.5</v>
      </c>
      <c r="C26" s="845">
        <f>'Statens skalatrin'!F82</f>
        <v>25753.5</v>
      </c>
      <c r="D26" s="845">
        <f>'Statens skalatrin'!H82</f>
        <v>26071.33</v>
      </c>
      <c r="E26" s="845">
        <f>'Statens skalatrin'!J82</f>
        <v>26530.33</v>
      </c>
      <c r="F26" s="846">
        <f>'Statens skalatrin'!L82</f>
        <v>26848.080000000002</v>
      </c>
      <c r="G26" s="876">
        <f>'Statens skalatrin'!O82</f>
        <v>24319.79</v>
      </c>
      <c r="H26" s="848">
        <f t="shared" si="3"/>
        <v>1215.99</v>
      </c>
      <c r="I26" s="849">
        <f t="shared" si="4"/>
        <v>2431.98</v>
      </c>
      <c r="J26" s="866">
        <f t="shared" si="5"/>
        <v>3647.97</v>
      </c>
    </row>
    <row r="27" spans="1:11" ht="20" customHeight="1" thickBot="1">
      <c r="A27" s="929"/>
      <c r="B27" s="906"/>
      <c r="C27" s="850"/>
      <c r="D27" s="850"/>
      <c r="E27" s="850"/>
      <c r="F27" s="850"/>
      <c r="G27" s="850"/>
      <c r="H27" s="850"/>
      <c r="I27" s="851"/>
      <c r="J27" s="851"/>
      <c r="K27" s="853"/>
    </row>
    <row r="28" spans="1:11" ht="20" customHeight="1">
      <c r="A28" s="1736" t="s">
        <v>475</v>
      </c>
      <c r="B28" s="1737"/>
      <c r="C28" s="1737"/>
      <c r="D28" s="1737"/>
      <c r="E28" s="1737"/>
      <c r="F28" s="1737"/>
      <c r="G28" s="1737"/>
      <c r="H28" s="1737"/>
      <c r="I28" s="1737"/>
      <c r="J28" s="1738"/>
    </row>
    <row r="29" spans="1:11" ht="20" customHeight="1" thickBot="1">
      <c r="A29" s="1825" t="s">
        <v>473</v>
      </c>
      <c r="B29" s="1826"/>
      <c r="C29" s="1826"/>
      <c r="D29" s="1826"/>
      <c r="E29" s="1826"/>
      <c r="F29" s="1826"/>
      <c r="G29" s="1826"/>
      <c r="H29" s="1826"/>
      <c r="I29" s="1826"/>
      <c r="J29" s="1827"/>
    </row>
    <row r="30" spans="1:11" s="431" customFormat="1" ht="20" customHeight="1" thickBot="1">
      <c r="A30" s="1828" t="s">
        <v>486</v>
      </c>
      <c r="B30" s="1829"/>
      <c r="C30" s="1829"/>
      <c r="D30" s="1829"/>
      <c r="E30" s="1829"/>
      <c r="F30" s="1830"/>
      <c r="G30" s="1828" t="s">
        <v>170</v>
      </c>
      <c r="H30" s="1829"/>
      <c r="I30" s="1829"/>
      <c r="J30" s="1830"/>
    </row>
    <row r="31" spans="1:11" ht="30" customHeight="1" thickBot="1">
      <c r="A31" s="477" t="s">
        <v>57</v>
      </c>
      <c r="B31" s="867" t="s">
        <v>76</v>
      </c>
      <c r="C31" s="862" t="s">
        <v>77</v>
      </c>
      <c r="D31" s="862" t="s">
        <v>78</v>
      </c>
      <c r="E31" s="862" t="s">
        <v>79</v>
      </c>
      <c r="F31" s="872" t="s">
        <v>80</v>
      </c>
      <c r="G31" s="860" t="s">
        <v>187</v>
      </c>
      <c r="H31" s="885" t="s">
        <v>189</v>
      </c>
      <c r="I31" s="860" t="s">
        <v>190</v>
      </c>
      <c r="J31" s="886">
        <v>0.15</v>
      </c>
    </row>
    <row r="32" spans="1:11" ht="16" customHeight="1">
      <c r="A32" s="856">
        <v>27</v>
      </c>
      <c r="B32" s="857">
        <f>'Statens skalatrin'!D85</f>
        <v>25710.58</v>
      </c>
      <c r="C32" s="858">
        <f>'Statens skalatrin'!F85</f>
        <v>26151.83</v>
      </c>
      <c r="D32" s="858">
        <f>'Statens skalatrin'!H85</f>
        <v>26457.58</v>
      </c>
      <c r="E32" s="858">
        <f>'Statens skalatrin'!J85</f>
        <v>26899</v>
      </c>
      <c r="F32" s="873">
        <f>'Statens skalatrin'!L85</f>
        <v>27204.67</v>
      </c>
      <c r="G32" s="884">
        <f>'Statens skalatrin'!O85</f>
        <v>24773.16</v>
      </c>
      <c r="H32" s="864">
        <f>J32*1/3</f>
        <v>1238.6566666666665</v>
      </c>
      <c r="I32" s="865">
        <f>J32*2/3</f>
        <v>2477.313333333333</v>
      </c>
      <c r="J32" s="866">
        <f>ROUND(G32*$J$9,2)</f>
        <v>3715.97</v>
      </c>
    </row>
    <row r="33" spans="1:11" ht="16" customHeight="1">
      <c r="A33" s="856">
        <v>29</v>
      </c>
      <c r="B33" s="854">
        <f>'Statens skalatrin'!D91</f>
        <v>26570.92</v>
      </c>
      <c r="C33" s="835">
        <f>'Statens skalatrin'!F91</f>
        <v>26973.58</v>
      </c>
      <c r="D33" s="835">
        <f>'Statens skalatrin'!H91</f>
        <v>27252.42</v>
      </c>
      <c r="E33" s="835">
        <f>'Statens skalatrin'!J91</f>
        <v>27655.08</v>
      </c>
      <c r="F33" s="883">
        <f>'Statens skalatrin'!L91</f>
        <v>27933.83</v>
      </c>
      <c r="G33" s="661">
        <f>'Statens skalatrin'!O91</f>
        <v>25715.97</v>
      </c>
      <c r="H33" s="839">
        <f t="shared" ref="H33:H35" si="6">J33*1/3</f>
        <v>1285.8</v>
      </c>
      <c r="I33" s="834">
        <f t="shared" ref="I33:I35" si="7">J33*2/3</f>
        <v>2571.6</v>
      </c>
      <c r="J33" s="866">
        <f t="shared" ref="J33:J35" si="8">ROUND(G33*$J$9,2)</f>
        <v>3857.4</v>
      </c>
    </row>
    <row r="34" spans="1:11" ht="16" customHeight="1">
      <c r="A34" s="856">
        <v>31</v>
      </c>
      <c r="B34" s="854">
        <f>'Statens skalatrin'!D97</f>
        <v>27470.080000000002</v>
      </c>
      <c r="C34" s="835">
        <f>'Statens skalatrin'!F97</f>
        <v>27828.75</v>
      </c>
      <c r="D34" s="835">
        <f>'Statens skalatrin'!H97</f>
        <v>28077.17</v>
      </c>
      <c r="E34" s="835">
        <f>'Statens skalatrin'!J97</f>
        <v>28435.83</v>
      </c>
      <c r="F34" s="883">
        <f>'Statens skalatrin'!L97</f>
        <v>28684.17</v>
      </c>
      <c r="G34" s="661">
        <f>'Statens skalatrin'!O97</f>
        <v>26708.67</v>
      </c>
      <c r="H34" s="839">
        <f t="shared" si="6"/>
        <v>1335.4333333333334</v>
      </c>
      <c r="I34" s="834">
        <f t="shared" si="7"/>
        <v>2670.8666666666668</v>
      </c>
      <c r="J34" s="866">
        <f t="shared" si="8"/>
        <v>4006.3</v>
      </c>
    </row>
    <row r="35" spans="1:11" s="600" customFormat="1" ht="16" customHeight="1" thickBot="1">
      <c r="A35" s="313">
        <v>33</v>
      </c>
      <c r="B35" s="887">
        <f>'Statens skalatrin'!D103</f>
        <v>28409.83</v>
      </c>
      <c r="C35" s="836">
        <f>'Statens skalatrin'!F103</f>
        <v>28718.58</v>
      </c>
      <c r="D35" s="836">
        <f>'Statens skalatrin'!H103</f>
        <v>28932.67</v>
      </c>
      <c r="E35" s="836">
        <f>'Statens skalatrin'!J103</f>
        <v>29241.58</v>
      </c>
      <c r="F35" s="888">
        <f>'Statens skalatrin'!L103</f>
        <v>29455.5</v>
      </c>
      <c r="G35" s="662">
        <f>'Statens skalatrin'!O103</f>
        <v>27753.91</v>
      </c>
      <c r="H35" s="840">
        <f t="shared" si="6"/>
        <v>1387.6966666666667</v>
      </c>
      <c r="I35" s="837">
        <f t="shared" si="7"/>
        <v>2775.3933333333334</v>
      </c>
      <c r="J35" s="866">
        <f t="shared" si="8"/>
        <v>4163.09</v>
      </c>
    </row>
    <row r="36" spans="1:11" s="889" customFormat="1" ht="20" customHeight="1" thickBot="1">
      <c r="A36" s="929"/>
      <c r="B36" s="906"/>
      <c r="C36" s="850"/>
      <c r="D36" s="850"/>
      <c r="E36" s="850"/>
      <c r="F36" s="850"/>
      <c r="G36" s="850"/>
      <c r="H36" s="850"/>
      <c r="I36" s="851"/>
      <c r="J36" s="851"/>
      <c r="K36" s="853"/>
    </row>
    <row r="37" spans="1:11" s="600" customFormat="1" ht="20" customHeight="1">
      <c r="A37" s="1736" t="s">
        <v>476</v>
      </c>
      <c r="B37" s="1737"/>
      <c r="C37" s="1737"/>
      <c r="D37" s="1737"/>
      <c r="E37" s="1737"/>
      <c r="F37" s="1737"/>
      <c r="G37" s="1737"/>
      <c r="H37" s="1737"/>
      <c r="I37" s="1737"/>
      <c r="J37" s="1738"/>
    </row>
    <row r="38" spans="1:11" ht="20" customHeight="1" thickBot="1">
      <c r="A38" s="1825" t="s">
        <v>473</v>
      </c>
      <c r="B38" s="1826"/>
      <c r="C38" s="1826"/>
      <c r="D38" s="1826"/>
      <c r="E38" s="1826"/>
      <c r="F38" s="1826"/>
      <c r="G38" s="1826"/>
      <c r="H38" s="1826"/>
      <c r="I38" s="1826"/>
      <c r="J38" s="1827"/>
    </row>
    <row r="39" spans="1:11" ht="20" customHeight="1" thickBot="1">
      <c r="A39" s="1828" t="s">
        <v>486</v>
      </c>
      <c r="B39" s="1829"/>
      <c r="C39" s="1829"/>
      <c r="D39" s="1829"/>
      <c r="E39" s="1829"/>
      <c r="F39" s="1830"/>
      <c r="G39" s="1828" t="s">
        <v>170</v>
      </c>
      <c r="H39" s="1829"/>
      <c r="I39" s="1829"/>
      <c r="J39" s="1830"/>
    </row>
    <row r="40" spans="1:11" ht="30" customHeight="1" thickBot="1">
      <c r="A40" s="477" t="s">
        <v>57</v>
      </c>
      <c r="B40" s="867" t="s">
        <v>76</v>
      </c>
      <c r="C40" s="862" t="s">
        <v>77</v>
      </c>
      <c r="D40" s="862" t="s">
        <v>78</v>
      </c>
      <c r="E40" s="862" t="s">
        <v>79</v>
      </c>
      <c r="F40" s="863" t="s">
        <v>80</v>
      </c>
      <c r="G40" s="885" t="s">
        <v>187</v>
      </c>
      <c r="H40" s="885" t="s">
        <v>189</v>
      </c>
      <c r="I40" s="860" t="s">
        <v>190</v>
      </c>
      <c r="J40" s="886">
        <v>0.15</v>
      </c>
    </row>
    <row r="41" spans="1:11" s="255" customFormat="1" ht="16" customHeight="1">
      <c r="A41" s="856">
        <v>34</v>
      </c>
      <c r="B41" s="871">
        <f>'Statens skalatrin'!D106</f>
        <v>28895.42</v>
      </c>
      <c r="C41" s="857">
        <f>'Statens skalatrin'!F106</f>
        <v>29177.17</v>
      </c>
      <c r="D41" s="857">
        <f>'Statens skalatrin'!H106</f>
        <v>29372.25</v>
      </c>
      <c r="E41" s="857">
        <f>'Statens skalatrin'!J106</f>
        <v>29653.919999999998</v>
      </c>
      <c r="F41" s="892">
        <f>'Statens skalatrin'!L106</f>
        <v>29849</v>
      </c>
      <c r="G41" s="896">
        <f>'Statens skalatrin'!O106</f>
        <v>28297.14</v>
      </c>
      <c r="H41" s="864">
        <f>J41*1/3</f>
        <v>1414.8566666666666</v>
      </c>
      <c r="I41" s="865">
        <f>J41*2/3</f>
        <v>2829.7133333333331</v>
      </c>
      <c r="J41" s="866">
        <f>ROUND(G41*$J$9,2)</f>
        <v>4244.57</v>
      </c>
    </row>
    <row r="42" spans="1:11" s="255" customFormat="1" ht="16" customHeight="1">
      <c r="A42" s="856">
        <v>36</v>
      </c>
      <c r="B42" s="841">
        <f>'Statens skalatrin'!D112</f>
        <v>29899</v>
      </c>
      <c r="C42" s="854">
        <f>'Statens skalatrin'!F112</f>
        <v>30121.5</v>
      </c>
      <c r="D42" s="854">
        <f>'Statens skalatrin'!H112</f>
        <v>30275.58</v>
      </c>
      <c r="E42" s="854">
        <f>'Statens skalatrin'!J112</f>
        <v>30498.17</v>
      </c>
      <c r="F42" s="875">
        <f>'Statens skalatrin'!L112</f>
        <v>30652.17</v>
      </c>
      <c r="G42" s="661">
        <f>'Statens skalatrin'!O112</f>
        <v>29426.49</v>
      </c>
      <c r="H42" s="839">
        <f t="shared" ref="H42:H45" si="9">J42*1/3</f>
        <v>1471.3233333333335</v>
      </c>
      <c r="I42" s="834">
        <f t="shared" ref="I42:I45" si="10">J42*2/3</f>
        <v>2942.646666666667</v>
      </c>
      <c r="J42" s="866">
        <f t="shared" ref="J42:J45" si="11">ROUND(G42*$J$9,2)</f>
        <v>4413.97</v>
      </c>
    </row>
    <row r="43" spans="1:11" s="255" customFormat="1" ht="16" customHeight="1">
      <c r="A43" s="856">
        <v>40</v>
      </c>
      <c r="B43" s="841">
        <f>'Statens skalatrin'!D124</f>
        <v>32082.67</v>
      </c>
      <c r="C43" s="854">
        <f>'Statens skalatrin'!F124</f>
        <v>32166.5</v>
      </c>
      <c r="D43" s="854">
        <f>'Statens skalatrin'!H124</f>
        <v>32224.58</v>
      </c>
      <c r="E43" s="854">
        <f>'Statens skalatrin'!J124</f>
        <v>32308.42</v>
      </c>
      <c r="F43" s="875">
        <f>'Statens skalatrin'!L124</f>
        <v>32366.58</v>
      </c>
      <c r="G43" s="661">
        <f>'Statens skalatrin'!O124</f>
        <v>31904.43</v>
      </c>
      <c r="H43" s="839">
        <f t="shared" si="9"/>
        <v>1595.22</v>
      </c>
      <c r="I43" s="834">
        <f t="shared" si="10"/>
        <v>3190.44</v>
      </c>
      <c r="J43" s="866">
        <f t="shared" si="11"/>
        <v>4785.66</v>
      </c>
    </row>
    <row r="44" spans="1:11" s="255" customFormat="1" ht="16" customHeight="1">
      <c r="A44" s="890">
        <v>42</v>
      </c>
      <c r="B44" s="893">
        <f>'Statens skalatrin'!D130</f>
        <v>33249.67</v>
      </c>
      <c r="C44" s="891">
        <f>'Statens skalatrin'!F130</f>
        <v>33249.67</v>
      </c>
      <c r="D44" s="891">
        <f>'Statens skalatrin'!H130</f>
        <v>33249.67</v>
      </c>
      <c r="E44" s="891">
        <f>'Statens skalatrin'!J130</f>
        <v>33249.67</v>
      </c>
      <c r="F44" s="894">
        <f>'Statens skalatrin'!L130</f>
        <v>33249.67</v>
      </c>
      <c r="G44" s="833">
        <f>'Statens skalatrin'!O130</f>
        <v>33249.620000000003</v>
      </c>
      <c r="H44" s="839">
        <f t="shared" si="9"/>
        <v>1662.4799999999998</v>
      </c>
      <c r="I44" s="834">
        <f t="shared" si="10"/>
        <v>3324.9599999999996</v>
      </c>
      <c r="J44" s="866">
        <f t="shared" si="11"/>
        <v>4987.4399999999996</v>
      </c>
    </row>
    <row r="45" spans="1:11" s="238" customFormat="1" ht="16" customHeight="1" thickBot="1">
      <c r="A45" s="313">
        <v>43</v>
      </c>
      <c r="B45" s="843">
        <f>'Statens skalatrin'!D133</f>
        <v>33987.83</v>
      </c>
      <c r="C45" s="887">
        <f>'Statens skalatrin'!F133</f>
        <v>33987.83</v>
      </c>
      <c r="D45" s="887">
        <f>'Statens skalatrin'!H133</f>
        <v>33987.83</v>
      </c>
      <c r="E45" s="887">
        <f>'Statens skalatrin'!J133</f>
        <v>33987.83</v>
      </c>
      <c r="F45" s="895">
        <f>'Statens skalatrin'!L133</f>
        <v>33987.83</v>
      </c>
      <c r="G45" s="662">
        <f>'Statens skalatrin'!O133</f>
        <v>33987.81</v>
      </c>
      <c r="H45" s="840">
        <f t="shared" si="9"/>
        <v>1699.39</v>
      </c>
      <c r="I45" s="837">
        <f t="shared" si="10"/>
        <v>3398.78</v>
      </c>
      <c r="J45" s="866">
        <f t="shared" si="11"/>
        <v>5098.17</v>
      </c>
    </row>
    <row r="46" spans="1:11" s="272" customFormat="1" ht="20" customHeight="1" thickBot="1">
      <c r="A46" s="929"/>
      <c r="B46" s="906"/>
      <c r="C46" s="850"/>
      <c r="D46" s="850"/>
      <c r="E46" s="850"/>
      <c r="F46" s="850"/>
      <c r="G46" s="869"/>
      <c r="H46" s="850"/>
      <c r="I46" s="851"/>
      <c r="J46" s="851"/>
      <c r="K46" s="851"/>
    </row>
    <row r="47" spans="1:11" s="238" customFormat="1" ht="20" customHeight="1">
      <c r="A47" s="1205" t="s">
        <v>194</v>
      </c>
      <c r="B47" s="1206"/>
      <c r="C47" s="1206"/>
      <c r="D47" s="1206"/>
      <c r="E47" s="1206"/>
      <c r="F47" s="1206"/>
      <c r="G47" s="1206"/>
      <c r="H47" s="1206"/>
      <c r="I47" s="1206"/>
      <c r="J47" s="1207"/>
    </row>
    <row r="48" spans="1:11" s="238" customFormat="1" ht="17" customHeight="1" thickBot="1">
      <c r="A48" s="1846" t="s">
        <v>318</v>
      </c>
      <c r="B48" s="1847"/>
      <c r="C48" s="1847"/>
      <c r="D48" s="1847"/>
      <c r="E48" s="1847"/>
      <c r="F48" s="1847"/>
      <c r="G48" s="1847"/>
      <c r="H48" s="1847"/>
      <c r="I48" s="1847"/>
      <c r="J48" s="1848"/>
    </row>
    <row r="49" spans="1:14" s="238" customFormat="1" ht="16">
      <c r="A49" s="897"/>
      <c r="B49" s="898"/>
      <c r="C49" s="898"/>
      <c r="D49" s="898"/>
      <c r="E49" s="898"/>
      <c r="F49" s="901"/>
      <c r="G49" s="1834" t="s">
        <v>353</v>
      </c>
      <c r="H49" s="1835"/>
      <c r="I49" s="1834" t="s">
        <v>354</v>
      </c>
      <c r="J49" s="1835"/>
      <c r="K49" s="225"/>
      <c r="L49" s="225"/>
      <c r="M49" s="225"/>
    </row>
    <row r="50" spans="1:14" s="238" customFormat="1" ht="17" thickBot="1">
      <c r="A50" s="899"/>
      <c r="B50" s="900"/>
      <c r="C50" s="900"/>
      <c r="D50" s="900"/>
      <c r="E50" s="900"/>
      <c r="F50" s="828"/>
      <c r="G50" s="1836">
        <v>40999</v>
      </c>
      <c r="H50" s="1837"/>
      <c r="I50" s="1836" t="str">
        <f>'Løntabel gældende fra'!$D$1</f>
        <v>01/04/2020</v>
      </c>
      <c r="J50" s="1837"/>
      <c r="K50" s="225"/>
      <c r="L50" s="225"/>
      <c r="M50" s="225"/>
    </row>
    <row r="51" spans="1:14" s="238" customFormat="1" ht="16" customHeight="1" thickBot="1">
      <c r="A51" s="1840" t="s">
        <v>489</v>
      </c>
      <c r="B51" s="1841"/>
      <c r="C51" s="1841"/>
      <c r="D51" s="1841"/>
      <c r="E51" s="1841"/>
      <c r="F51" s="1842"/>
      <c r="G51" s="1838">
        <v>135</v>
      </c>
      <c r="H51" s="1839"/>
      <c r="I51" s="1797">
        <f>ROUND(+G51*(1+'Løntabel gældende fra'!$D$7/100),2)</f>
        <v>148.94</v>
      </c>
      <c r="J51" s="1796"/>
      <c r="K51" s="225"/>
      <c r="L51" s="225"/>
      <c r="M51" s="225"/>
    </row>
    <row r="52" spans="1:14" s="238" customFormat="1" ht="16" customHeight="1" thickBot="1">
      <c r="A52" s="1843" t="s">
        <v>477</v>
      </c>
      <c r="B52" s="1844"/>
      <c r="C52" s="1844"/>
      <c r="D52" s="1844"/>
      <c r="E52" s="1844"/>
      <c r="F52" s="1845"/>
      <c r="G52" s="1797">
        <v>185</v>
      </c>
      <c r="H52" s="1796"/>
      <c r="I52" s="1797">
        <f>ROUND(+G52*(1+'Løntabel gældende fra'!$D$7/100),2)</f>
        <v>204.1</v>
      </c>
      <c r="J52" s="1796"/>
      <c r="K52" s="225"/>
      <c r="L52" s="225"/>
      <c r="M52" s="225"/>
    </row>
    <row r="53" spans="1:14" s="238" customFormat="1" ht="20" customHeight="1" thickBot="1">
      <c r="A53" s="902"/>
      <c r="B53" s="829"/>
      <c r="C53" s="829"/>
      <c r="D53" s="829"/>
      <c r="E53" s="829"/>
      <c r="F53" s="829"/>
      <c r="G53" s="902"/>
      <c r="H53" s="61"/>
      <c r="I53" s="61"/>
      <c r="J53" s="61"/>
      <c r="K53" s="61"/>
      <c r="L53" s="225"/>
      <c r="M53" s="225"/>
      <c r="N53" s="225"/>
    </row>
    <row r="54" spans="1:14" s="238" customFormat="1" ht="20" customHeight="1">
      <c r="A54" s="1205" t="s">
        <v>230</v>
      </c>
      <c r="B54" s="1206"/>
      <c r="C54" s="1206"/>
      <c r="D54" s="1206"/>
      <c r="E54" s="1206"/>
      <c r="F54" s="1206"/>
      <c r="G54" s="1206"/>
      <c r="H54" s="1206"/>
      <c r="I54" s="1206"/>
      <c r="J54" s="1207"/>
    </row>
    <row r="55" spans="1:14" s="238" customFormat="1" ht="21" customHeight="1" thickBot="1">
      <c r="A55" s="1846" t="s">
        <v>408</v>
      </c>
      <c r="B55" s="1847"/>
      <c r="C55" s="1847"/>
      <c r="D55" s="1847"/>
      <c r="E55" s="1847"/>
      <c r="F55" s="1847"/>
      <c r="G55" s="1847"/>
      <c r="H55" s="1847"/>
      <c r="I55" s="1847"/>
      <c r="J55" s="1848"/>
    </row>
    <row r="56" spans="1:14" ht="16">
      <c r="A56" s="897"/>
      <c r="B56" s="898"/>
      <c r="C56" s="898"/>
      <c r="D56" s="898"/>
      <c r="E56" s="898"/>
      <c r="F56" s="901"/>
      <c r="G56" s="1834" t="s">
        <v>481</v>
      </c>
      <c r="H56" s="1835"/>
      <c r="I56" s="1834" t="s">
        <v>479</v>
      </c>
      <c r="J56" s="1835"/>
    </row>
    <row r="57" spans="1:14" ht="17" thickBot="1">
      <c r="A57" s="899"/>
      <c r="B57" s="900"/>
      <c r="C57" s="900"/>
      <c r="D57" s="900"/>
      <c r="E57" s="900"/>
      <c r="F57" s="828"/>
      <c r="G57" s="1836">
        <v>40999</v>
      </c>
      <c r="H57" s="1837"/>
      <c r="I57" s="1836" t="str">
        <f>'Løntabel gældende fra'!$D$1</f>
        <v>01/04/2020</v>
      </c>
      <c r="J57" s="1837"/>
    </row>
    <row r="58" spans="1:14" ht="16" customHeight="1" thickBot="1">
      <c r="A58" s="909" t="s">
        <v>478</v>
      </c>
      <c r="B58" s="910"/>
      <c r="C58" s="910"/>
      <c r="D58" s="910"/>
      <c r="E58" s="910"/>
      <c r="F58" s="911"/>
      <c r="G58" s="1838">
        <v>300</v>
      </c>
      <c r="H58" s="1839"/>
      <c r="I58" s="1797">
        <f>ROUND(+G58*(1+'Løntabel gældende fra'!$D$7/100),2)</f>
        <v>330.97</v>
      </c>
      <c r="J58" s="1796"/>
    </row>
    <row r="59" spans="1:14" ht="20" customHeight="1" thickBot="1">
      <c r="A59" s="1863"/>
      <c r="B59" s="1863"/>
      <c r="C59" s="1863"/>
      <c r="D59" s="1863"/>
      <c r="E59" s="1863"/>
      <c r="F59" s="1863"/>
      <c r="G59" s="1863"/>
      <c r="H59" s="1863"/>
      <c r="I59" s="515"/>
      <c r="J59" s="10"/>
      <c r="K59" s="10"/>
    </row>
    <row r="60" spans="1:14" ht="20" customHeight="1" thickBot="1">
      <c r="A60" s="1258" t="s">
        <v>480</v>
      </c>
      <c r="B60" s="1259"/>
      <c r="C60" s="1259"/>
      <c r="D60" s="1259"/>
      <c r="E60" s="1259"/>
      <c r="F60" s="1259"/>
      <c r="G60" s="1259"/>
      <c r="H60" s="1260"/>
      <c r="I60" s="515"/>
      <c r="J60" s="10"/>
      <c r="K60" s="10"/>
    </row>
    <row r="61" spans="1:14" ht="20" customHeight="1" thickBot="1">
      <c r="A61" s="919"/>
      <c r="B61" s="920"/>
      <c r="C61" s="1864" t="s">
        <v>484</v>
      </c>
      <c r="D61" s="1692"/>
      <c r="E61" s="1698"/>
      <c r="F61" s="1864" t="s">
        <v>483</v>
      </c>
      <c r="G61" s="1692"/>
      <c r="H61" s="1698"/>
      <c r="I61" s="515"/>
      <c r="J61" s="10"/>
      <c r="K61" s="10"/>
    </row>
    <row r="62" spans="1:14" ht="20" customHeight="1">
      <c r="A62" s="903"/>
      <c r="B62" s="904"/>
      <c r="C62" s="1849" t="s">
        <v>132</v>
      </c>
      <c r="D62" s="1849" t="s">
        <v>132</v>
      </c>
      <c r="E62" s="1849" t="s">
        <v>282</v>
      </c>
      <c r="F62" s="1849" t="s">
        <v>132</v>
      </c>
      <c r="G62" s="1849" t="s">
        <v>132</v>
      </c>
      <c r="H62" s="1849" t="s">
        <v>282</v>
      </c>
      <c r="I62" s="907"/>
      <c r="J62" s="908"/>
      <c r="K62" s="908"/>
    </row>
    <row r="63" spans="1:14" ht="20" customHeight="1">
      <c r="A63" s="903"/>
      <c r="B63" s="904"/>
      <c r="C63" s="1850"/>
      <c r="D63" s="1850"/>
      <c r="E63" s="1850"/>
      <c r="F63" s="1850"/>
      <c r="G63" s="1850"/>
      <c r="H63" s="1850"/>
      <c r="I63" s="907"/>
      <c r="J63" s="908"/>
      <c r="K63" s="908"/>
    </row>
    <row r="64" spans="1:14" ht="20" customHeight="1" thickBot="1">
      <c r="A64" s="912"/>
      <c r="B64" s="921"/>
      <c r="C64" s="913">
        <f>G57</f>
        <v>40999</v>
      </c>
      <c r="D64" s="913" t="str">
        <f>I57</f>
        <v>01/04/2020</v>
      </c>
      <c r="E64" s="913" t="str">
        <f>I57</f>
        <v>01/04/2020</v>
      </c>
      <c r="F64" s="913">
        <f>C64</f>
        <v>40999</v>
      </c>
      <c r="G64" s="913" t="str">
        <f t="shared" ref="G64:H64" si="12">D64</f>
        <v>01/04/2020</v>
      </c>
      <c r="H64" s="913" t="str">
        <f t="shared" si="12"/>
        <v>01/04/2020</v>
      </c>
      <c r="I64" s="907"/>
      <c r="J64" s="908"/>
      <c r="K64" s="908"/>
    </row>
    <row r="65" spans="1:11" ht="16" customHeight="1" thickBot="1">
      <c r="A65" s="1859" t="s">
        <v>485</v>
      </c>
      <c r="B65" s="1860"/>
      <c r="C65" s="925"/>
      <c r="D65" s="925"/>
      <c r="E65" s="925"/>
      <c r="F65" s="925"/>
      <c r="G65" s="925"/>
      <c r="H65" s="925"/>
      <c r="I65" s="907"/>
      <c r="J65" s="908"/>
      <c r="K65" s="908"/>
    </row>
    <row r="66" spans="1:11" ht="16" customHeight="1">
      <c r="A66" s="1861" t="s">
        <v>400</v>
      </c>
      <c r="B66" s="1862"/>
      <c r="C66" s="915">
        <v>103542</v>
      </c>
      <c r="D66" s="916">
        <f>ROUND(C66+(C66*'Løntabel gældende fra'!$D$7%),2)</f>
        <v>114231.26</v>
      </c>
      <c r="E66" s="916">
        <f>ROUND(D66/12,2)</f>
        <v>9519.27</v>
      </c>
      <c r="F66" s="916">
        <v>106163</v>
      </c>
      <c r="G66" s="916">
        <f>ROUND(F66+(F66*'Løntabel gældende fra'!$D$7%),2)</f>
        <v>117122.84</v>
      </c>
      <c r="H66" s="915">
        <f>ROUND(G66/12,2)</f>
        <v>9760.24</v>
      </c>
      <c r="I66" s="515"/>
      <c r="J66" s="10"/>
      <c r="K66" s="10"/>
    </row>
    <row r="67" spans="1:11" ht="16" customHeight="1">
      <c r="A67" s="1855" t="s">
        <v>399</v>
      </c>
      <c r="B67" s="1856"/>
      <c r="C67" s="917">
        <v>110751</v>
      </c>
      <c r="D67" s="916">
        <f>ROUND(C67+(C67*'Løntabel gældende fra'!$D$7%),2)</f>
        <v>122184.49</v>
      </c>
      <c r="E67" s="916">
        <f t="shared" ref="E67:E69" si="13">ROUND(D67/12,2)</f>
        <v>10182.040000000001</v>
      </c>
      <c r="F67" s="917">
        <v>114027</v>
      </c>
      <c r="G67" s="916">
        <f>ROUND(F67+(F67*'Løntabel gældende fra'!$D$7%),2)</f>
        <v>125798.69</v>
      </c>
      <c r="H67" s="915">
        <f t="shared" ref="H67:H69" si="14">ROUND(G67/12,2)</f>
        <v>10483.219999999999</v>
      </c>
      <c r="I67" s="515"/>
      <c r="J67" s="10"/>
      <c r="K67" s="10"/>
    </row>
    <row r="68" spans="1:11" ht="16" customHeight="1">
      <c r="A68" s="1855" t="s">
        <v>398</v>
      </c>
      <c r="B68" s="1856"/>
      <c r="C68" s="917">
        <v>117959</v>
      </c>
      <c r="D68" s="916">
        <f>ROUND(C68+(C68*'Løntabel gældende fra'!$D$7%),2)</f>
        <v>130136.62</v>
      </c>
      <c r="E68" s="916">
        <f t="shared" si="13"/>
        <v>10844.72</v>
      </c>
      <c r="F68" s="917">
        <v>121236</v>
      </c>
      <c r="G68" s="916">
        <f>ROUND(F68+(F68*'Løntabel gældende fra'!$D$7%),2)</f>
        <v>133751.92000000001</v>
      </c>
      <c r="H68" s="915">
        <f t="shared" si="14"/>
        <v>11145.99</v>
      </c>
      <c r="I68" s="515"/>
      <c r="J68" s="10"/>
      <c r="K68" s="10"/>
    </row>
    <row r="69" spans="1:11" ht="16" customHeight="1" thickBot="1">
      <c r="A69" s="1857" t="s">
        <v>397</v>
      </c>
      <c r="B69" s="1858"/>
      <c r="C69" s="918">
        <v>126479</v>
      </c>
      <c r="D69" s="916">
        <f>ROUND(C69+(C69*'Løntabel gældende fra'!$D$7%),2)</f>
        <v>139536.19</v>
      </c>
      <c r="E69" s="916">
        <f t="shared" si="13"/>
        <v>11628.02</v>
      </c>
      <c r="F69" s="918">
        <v>130411</v>
      </c>
      <c r="G69" s="916">
        <f>ROUND(F69+(F69*'Løntabel gældende fra'!$D$7%),2)</f>
        <v>143874.10999999999</v>
      </c>
      <c r="H69" s="915">
        <f t="shared" si="14"/>
        <v>11989.51</v>
      </c>
      <c r="I69" s="515"/>
      <c r="J69" s="10"/>
      <c r="K69" s="10"/>
    </row>
    <row r="70" spans="1:11" ht="16" customHeight="1" thickBot="1">
      <c r="A70" s="1859" t="s">
        <v>482</v>
      </c>
      <c r="B70" s="1860"/>
      <c r="C70" s="922"/>
      <c r="D70" s="922"/>
      <c r="E70" s="922"/>
      <c r="F70" s="923"/>
      <c r="G70" s="922"/>
      <c r="H70" s="924"/>
      <c r="I70" s="515"/>
      <c r="J70" s="10"/>
      <c r="K70" s="10"/>
    </row>
    <row r="71" spans="1:11" ht="16" customHeight="1">
      <c r="A71" s="1861" t="s">
        <v>400</v>
      </c>
      <c r="B71" s="1862"/>
      <c r="C71" s="915">
        <v>130411</v>
      </c>
      <c r="D71" s="916">
        <f>ROUND(C71+(C71*'Løntabel gældende fra'!$D$7%),2)</f>
        <v>143874.10999999999</v>
      </c>
      <c r="E71" s="916">
        <f>ROUND(D71/12,2)</f>
        <v>11989.51</v>
      </c>
      <c r="F71" s="916">
        <v>133687</v>
      </c>
      <c r="G71" s="916">
        <f>ROUND(F71+(F71*'Løntabel gældende fra'!$D$7%),2)</f>
        <v>147488.31</v>
      </c>
      <c r="H71" s="915">
        <f>ROUND(G71/12,2)</f>
        <v>12290.69</v>
      </c>
      <c r="I71" s="515"/>
      <c r="J71" s="10"/>
      <c r="K71" s="10"/>
    </row>
    <row r="72" spans="1:11" ht="16" customHeight="1">
      <c r="A72" s="1855" t="s">
        <v>399</v>
      </c>
      <c r="B72" s="1856"/>
      <c r="C72" s="917">
        <v>137619</v>
      </c>
      <c r="D72" s="916">
        <f>ROUND(C72+(C72*'Løntabel gældende fra'!$D$7%),2)</f>
        <v>151826.23999999999</v>
      </c>
      <c r="E72" s="916">
        <f t="shared" ref="E72:E74" si="15">ROUND(D72/12,2)</f>
        <v>12652.19</v>
      </c>
      <c r="F72" s="917">
        <v>140896</v>
      </c>
      <c r="G72" s="916">
        <f>ROUND(F72+(F72*'Løntabel gældende fra'!$D$7%),2)</f>
        <v>155441.54</v>
      </c>
      <c r="H72" s="915">
        <f t="shared" ref="H72:H74" si="16">ROUND(G72/12,2)</f>
        <v>12953.46</v>
      </c>
      <c r="I72" s="515"/>
      <c r="J72" s="10"/>
      <c r="K72" s="10"/>
    </row>
    <row r="73" spans="1:11" ht="16" customHeight="1">
      <c r="A73" s="1855" t="s">
        <v>398</v>
      </c>
      <c r="B73" s="1856"/>
      <c r="C73" s="917">
        <v>147777</v>
      </c>
      <c r="D73" s="916">
        <f>ROUND(C73+(C73*'Løntabel gældende fra'!$D$7%),2)</f>
        <v>163032.91</v>
      </c>
      <c r="E73" s="916">
        <f t="shared" si="15"/>
        <v>13586.08</v>
      </c>
      <c r="F73" s="917">
        <v>152037</v>
      </c>
      <c r="G73" s="916">
        <f>ROUND(F73+(F73*'Løntabel gældende fra'!$D$7%),2)</f>
        <v>167732.69</v>
      </c>
      <c r="H73" s="915">
        <f t="shared" si="16"/>
        <v>13977.72</v>
      </c>
      <c r="I73" s="515"/>
      <c r="J73" s="10"/>
      <c r="K73" s="10"/>
    </row>
    <row r="74" spans="1:11" s="431" customFormat="1" ht="16" customHeight="1" thickBot="1">
      <c r="A74" s="1857" t="s">
        <v>397</v>
      </c>
      <c r="B74" s="1858"/>
      <c r="C74" s="918">
        <v>155641</v>
      </c>
      <c r="D74" s="916">
        <f>ROUND(C74+(C74*'Løntabel gældende fra'!$D$7%),2)</f>
        <v>171708.75</v>
      </c>
      <c r="E74" s="916">
        <f t="shared" si="15"/>
        <v>14309.06</v>
      </c>
      <c r="F74" s="918">
        <v>160556</v>
      </c>
      <c r="G74" s="916">
        <f>ROUND(F74+(F74*'Løntabel gældende fra'!$D$7%),2)</f>
        <v>177131.16</v>
      </c>
      <c r="H74" s="915">
        <f t="shared" si="16"/>
        <v>14760.93</v>
      </c>
      <c r="I74" s="515"/>
      <c r="J74" s="61"/>
      <c r="K74" s="61"/>
    </row>
    <row r="75" spans="1:11" ht="16" customHeight="1" thickBot="1">
      <c r="A75" s="926" t="s">
        <v>487</v>
      </c>
      <c r="B75" s="926"/>
      <c r="C75" s="922"/>
      <c r="D75" s="922"/>
      <c r="E75" s="922"/>
      <c r="F75" s="923"/>
      <c r="G75" s="922"/>
      <c r="H75" s="924"/>
      <c r="I75" s="515"/>
      <c r="J75" s="10"/>
      <c r="K75" s="10"/>
    </row>
    <row r="76" spans="1:11" ht="16" customHeight="1" thickBot="1">
      <c r="A76" s="1853" t="s">
        <v>488</v>
      </c>
      <c r="B76" s="1854"/>
      <c r="C76" s="914">
        <v>220533</v>
      </c>
      <c r="D76" s="914">
        <f>ROUND(C76+(C76*'Løntabel gældende fra'!$D$7%),2)</f>
        <v>243299.94</v>
      </c>
      <c r="E76" s="914">
        <f>ROUND(D76/12,2)</f>
        <v>20275</v>
      </c>
      <c r="F76" s="914">
        <v>222812</v>
      </c>
      <c r="G76" s="914">
        <f>ROUND(F76+(F76*'Løntabel gældende fra'!$D$7%),2)</f>
        <v>245814.22</v>
      </c>
      <c r="H76" s="927">
        <f>ROUND(G76/12,2)</f>
        <v>20484.52</v>
      </c>
      <c r="I76" s="515"/>
      <c r="J76" s="10"/>
      <c r="K76" s="10"/>
    </row>
    <row r="77" spans="1:11">
      <c r="A77" s="241"/>
      <c r="B77" s="241"/>
      <c r="C77" s="241"/>
      <c r="D77" s="242"/>
      <c r="E77" s="239"/>
      <c r="F77" s="238"/>
      <c r="G77" s="240"/>
      <c r="H77" s="240"/>
    </row>
    <row r="78" spans="1:11">
      <c r="A78" s="238"/>
      <c r="B78" s="238"/>
      <c r="C78" s="238"/>
      <c r="D78" s="243"/>
      <c r="E78" s="239"/>
      <c r="F78" s="238"/>
      <c r="G78" s="240"/>
      <c r="H78" s="240"/>
    </row>
    <row r="79" spans="1:11">
      <c r="A79" s="238"/>
      <c r="B79" s="238"/>
      <c r="C79" s="238"/>
      <c r="D79" s="243"/>
      <c r="E79" s="239"/>
      <c r="F79" s="238"/>
      <c r="G79" s="240"/>
      <c r="H79" s="240"/>
    </row>
    <row r="80" spans="1:11">
      <c r="A80" s="238"/>
      <c r="B80" s="238"/>
      <c r="C80" s="238"/>
      <c r="D80" s="243"/>
      <c r="E80" s="239"/>
      <c r="F80" s="238"/>
      <c r="G80" s="240"/>
      <c r="H80" s="240"/>
    </row>
    <row r="81" spans="1:8">
      <c r="A81" s="238"/>
      <c r="B81" s="238"/>
      <c r="C81" s="238"/>
      <c r="D81" s="244"/>
      <c r="E81" s="239"/>
      <c r="F81" s="238"/>
      <c r="G81" s="240"/>
      <c r="H81" s="240"/>
    </row>
    <row r="82" spans="1:8">
      <c r="A82" s="238"/>
      <c r="B82" s="238"/>
      <c r="C82" s="238"/>
      <c r="D82" s="238"/>
      <c r="E82" s="239"/>
      <c r="F82" s="238"/>
      <c r="G82" s="240"/>
      <c r="H82" s="240"/>
    </row>
  </sheetData>
  <sheetProtection sheet="1" objects="1" scenarios="1"/>
  <mergeCells count="62">
    <mergeCell ref="A65:B65"/>
    <mergeCell ref="A59:H59"/>
    <mergeCell ref="A72:B72"/>
    <mergeCell ref="A73:B73"/>
    <mergeCell ref="A74:B74"/>
    <mergeCell ref="H62:H63"/>
    <mergeCell ref="C61:E61"/>
    <mergeCell ref="F61:H61"/>
    <mergeCell ref="A60:H60"/>
    <mergeCell ref="A66:B66"/>
    <mergeCell ref="C62:C63"/>
    <mergeCell ref="A76:B76"/>
    <mergeCell ref="A67:B67"/>
    <mergeCell ref="A68:B68"/>
    <mergeCell ref="A69:B69"/>
    <mergeCell ref="A70:B70"/>
    <mergeCell ref="A71:B71"/>
    <mergeCell ref="A28:J28"/>
    <mergeCell ref="A29:J29"/>
    <mergeCell ref="A30:F30"/>
    <mergeCell ref="A17:J17"/>
    <mergeCell ref="A18:J18"/>
    <mergeCell ref="A19:F19"/>
    <mergeCell ref="G30:J30"/>
    <mergeCell ref="G19:J19"/>
    <mergeCell ref="A37:J37"/>
    <mergeCell ref="A38:J38"/>
    <mergeCell ref="A39:F39"/>
    <mergeCell ref="A47:J47"/>
    <mergeCell ref="A48:J48"/>
    <mergeCell ref="G39:J39"/>
    <mergeCell ref="A51:F51"/>
    <mergeCell ref="A52:F52"/>
    <mergeCell ref="A54:J54"/>
    <mergeCell ref="A55:J55"/>
    <mergeCell ref="D62:D63"/>
    <mergeCell ref="E62:E63"/>
    <mergeCell ref="F62:F63"/>
    <mergeCell ref="G62:G63"/>
    <mergeCell ref="G56:H56"/>
    <mergeCell ref="I56:J56"/>
    <mergeCell ref="G57:H57"/>
    <mergeCell ref="I57:J57"/>
    <mergeCell ref="G58:H58"/>
    <mergeCell ref="I58:J58"/>
    <mergeCell ref="I52:J52"/>
    <mergeCell ref="G49:H49"/>
    <mergeCell ref="G50:H50"/>
    <mergeCell ref="G51:H51"/>
    <mergeCell ref="G52:H52"/>
    <mergeCell ref="I51:J51"/>
    <mergeCell ref="I49:J49"/>
    <mergeCell ref="I50:J50"/>
    <mergeCell ref="A7:J7"/>
    <mergeCell ref="G8:J8"/>
    <mergeCell ref="A8:F8"/>
    <mergeCell ref="A5:H5"/>
    <mergeCell ref="A1:J1"/>
    <mergeCell ref="A2:J2"/>
    <mergeCell ref="A3:J3"/>
    <mergeCell ref="A4:J4"/>
    <mergeCell ref="A6:J6"/>
  </mergeCells>
  <phoneticPr fontId="6" type="noConversion"/>
  <pageMargins left="0.7" right="0.7" top="0.75" bottom="0.75" header="0.3" footer="0.3"/>
  <pageSetup paperSize="9" scale="56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18D5-A809-824D-ABEB-11C0F4EC6AC6}">
  <sheetPr>
    <pageSetUpPr fitToPage="1"/>
  </sheetPr>
  <dimension ref="A1:M166"/>
  <sheetViews>
    <sheetView zoomScaleNormal="100" zoomScalePageLayoutView="125" workbookViewId="0">
      <selection activeCell="G55" sqref="G55"/>
    </sheetView>
  </sheetViews>
  <sheetFormatPr baseColWidth="10" defaultColWidth="8.83203125" defaultRowHeight="13"/>
  <cols>
    <col min="1" max="1" width="22.33203125" style="328" customWidth="1"/>
    <col min="2" max="2" width="10.6640625" style="328" customWidth="1"/>
    <col min="3" max="3" width="11" style="328" customWidth="1"/>
    <col min="4" max="4" width="10.33203125" style="328" customWidth="1"/>
    <col min="5" max="5" width="11.33203125" style="328" customWidth="1"/>
    <col min="6" max="6" width="10.6640625" style="328" customWidth="1"/>
    <col min="7" max="7" width="10.33203125" style="328" customWidth="1"/>
    <col min="8" max="8" width="11.1640625" style="328" customWidth="1"/>
    <col min="9" max="9" width="11" style="328" customWidth="1"/>
    <col min="10" max="10" width="10.83203125" style="328" customWidth="1"/>
    <col min="11" max="16384" width="8.83203125" style="328"/>
  </cols>
  <sheetData>
    <row r="1" spans="1:13" ht="20.25" customHeight="1">
      <c r="A1" s="1881" t="s">
        <v>19</v>
      </c>
      <c r="B1" s="1882"/>
      <c r="C1" s="1882"/>
      <c r="D1" s="1882"/>
      <c r="E1" s="1882"/>
      <c r="F1" s="1882"/>
      <c r="G1" s="1882"/>
      <c r="H1" s="1882"/>
      <c r="I1" s="1882"/>
      <c r="J1" s="1883"/>
    </row>
    <row r="2" spans="1:13" ht="20" customHeight="1">
      <c r="A2" s="1884" t="s">
        <v>226</v>
      </c>
      <c r="B2" s="1885"/>
      <c r="C2" s="1885"/>
      <c r="D2" s="1885"/>
      <c r="E2" s="1885"/>
      <c r="F2" s="1885"/>
      <c r="G2" s="1885"/>
      <c r="H2" s="1885"/>
      <c r="I2" s="1885"/>
      <c r="J2" s="1886"/>
    </row>
    <row r="3" spans="1:13" ht="19.5" customHeight="1">
      <c r="A3" s="1887" t="s">
        <v>528</v>
      </c>
      <c r="B3" s="1888"/>
      <c r="C3" s="1888"/>
      <c r="D3" s="1888"/>
      <c r="E3" s="1888"/>
      <c r="F3" s="1888"/>
      <c r="G3" s="1888"/>
      <c r="H3" s="1888"/>
      <c r="I3" s="1888"/>
      <c r="J3" s="1889"/>
    </row>
    <row r="4" spans="1:13" ht="23" customHeight="1" thickBot="1">
      <c r="A4" s="1822" t="s">
        <v>240</v>
      </c>
      <c r="B4" s="1823"/>
      <c r="C4" s="1823"/>
      <c r="D4" s="1823"/>
      <c r="E4" s="1823"/>
      <c r="F4" s="1823"/>
      <c r="G4" s="1823"/>
      <c r="H4" s="1823"/>
      <c r="I4" s="1823"/>
      <c r="J4" s="1824"/>
    </row>
    <row r="5" spans="1:13" ht="15" thickBot="1">
      <c r="A5" s="245"/>
      <c r="B5" s="245"/>
      <c r="C5" s="245"/>
      <c r="D5" s="245"/>
      <c r="E5" s="931"/>
      <c r="F5" s="931"/>
      <c r="G5" s="931"/>
      <c r="H5" s="931"/>
    </row>
    <row r="6" spans="1:13" s="255" customFormat="1" ht="19" thickBot="1">
      <c r="A6" s="1733" t="s">
        <v>15</v>
      </c>
      <c r="B6" s="1734"/>
      <c r="C6" s="1734"/>
      <c r="D6" s="1735"/>
      <c r="E6" s="1890"/>
      <c r="F6" s="1890"/>
      <c r="G6" s="1890"/>
      <c r="H6" s="1890"/>
    </row>
    <row r="7" spans="1:13" s="255" customFormat="1" ht="15" thickBot="1">
      <c r="A7" s="932" t="s">
        <v>223</v>
      </c>
      <c r="B7" s="604">
        <v>43556</v>
      </c>
      <c r="C7" s="604">
        <v>43739</v>
      </c>
      <c r="D7" s="604">
        <v>43922</v>
      </c>
      <c r="E7" s="264"/>
      <c r="F7" s="264"/>
      <c r="G7" s="264"/>
      <c r="H7" s="933"/>
    </row>
    <row r="8" spans="1:13" s="255" customFormat="1" ht="14" customHeight="1">
      <c r="A8" s="934" t="s">
        <v>201</v>
      </c>
      <c r="B8" s="1011">
        <v>25750.6</v>
      </c>
      <c r="C8" s="1011">
        <v>25972.06</v>
      </c>
      <c r="D8" s="503">
        <v>26486.31</v>
      </c>
      <c r="E8" s="935"/>
      <c r="F8" s="936"/>
      <c r="G8" s="937"/>
      <c r="H8" s="937"/>
      <c r="I8" s="258"/>
      <c r="J8" s="256"/>
    </row>
    <row r="9" spans="1:13" s="255" customFormat="1" ht="13.5" customHeight="1">
      <c r="A9" s="934" t="s">
        <v>224</v>
      </c>
      <c r="B9" s="1011">
        <v>22773.15</v>
      </c>
      <c r="C9" s="1011">
        <v>22969</v>
      </c>
      <c r="D9" s="503">
        <v>23423.78</v>
      </c>
      <c r="E9" s="935"/>
      <c r="F9" s="936"/>
      <c r="G9" s="937"/>
      <c r="H9" s="937"/>
      <c r="I9" s="258"/>
      <c r="J9" s="256"/>
    </row>
    <row r="10" spans="1:13" s="255" customFormat="1" ht="15" customHeight="1" thickBot="1">
      <c r="A10" s="938" t="s">
        <v>202</v>
      </c>
      <c r="B10" s="1012">
        <v>22206.51</v>
      </c>
      <c r="C10" s="1012">
        <v>22397.49</v>
      </c>
      <c r="D10" s="504">
        <v>22840.959999999999</v>
      </c>
      <c r="E10" s="935"/>
      <c r="F10" s="936"/>
      <c r="G10" s="937"/>
      <c r="H10" s="937"/>
      <c r="I10" s="258"/>
      <c r="J10" s="256"/>
      <c r="M10" s="257"/>
    </row>
    <row r="11" spans="1:13" s="255" customFormat="1" ht="15" thickBot="1">
      <c r="B11" s="256"/>
      <c r="C11" s="256"/>
      <c r="D11" s="256"/>
      <c r="E11" s="282"/>
      <c r="F11" s="282"/>
      <c r="G11" s="282"/>
      <c r="H11" s="282"/>
    </row>
    <row r="12" spans="1:13" s="255" customFormat="1" ht="19" thickBot="1">
      <c r="A12" s="1733" t="s">
        <v>172</v>
      </c>
      <c r="B12" s="1734"/>
      <c r="C12" s="1734"/>
      <c r="D12" s="1735"/>
    </row>
    <row r="13" spans="1:13" s="255" customFormat="1" ht="15" customHeight="1" thickBot="1">
      <c r="A13" s="1865" t="s">
        <v>173</v>
      </c>
      <c r="B13" s="1866"/>
      <c r="C13" s="1866"/>
      <c r="D13" s="1867"/>
    </row>
    <row r="14" spans="1:13" s="255" customFormat="1" ht="16" customHeight="1" thickBot="1">
      <c r="A14" s="939" t="s">
        <v>194</v>
      </c>
      <c r="B14" s="335">
        <v>43556</v>
      </c>
      <c r="C14" s="334">
        <v>43739</v>
      </c>
      <c r="D14" s="335">
        <v>43922</v>
      </c>
    </row>
    <row r="15" spans="1:13" s="255" customFormat="1" ht="16" customHeight="1" thickBot="1">
      <c r="A15" s="940" t="s">
        <v>195</v>
      </c>
      <c r="B15" s="1013">
        <v>124.41</v>
      </c>
      <c r="C15" s="1014">
        <v>125.48</v>
      </c>
      <c r="D15" s="941">
        <v>127.96</v>
      </c>
      <c r="F15" s="256"/>
      <c r="G15" s="256"/>
      <c r="H15" s="256"/>
      <c r="I15" s="256"/>
      <c r="J15" s="256"/>
    </row>
    <row r="16" spans="1:13" s="255" customFormat="1" ht="16" customHeight="1" thickBot="1">
      <c r="A16" s="264"/>
      <c r="B16" s="942"/>
      <c r="C16" s="942"/>
      <c r="D16" s="942"/>
      <c r="F16" s="256"/>
      <c r="G16" s="256"/>
      <c r="H16" s="256"/>
      <c r="I16" s="256"/>
      <c r="J16" s="256"/>
    </row>
    <row r="17" spans="1:10" s="255" customFormat="1" ht="16" customHeight="1" thickBot="1">
      <c r="A17" s="1733" t="s">
        <v>199</v>
      </c>
      <c r="B17" s="1734"/>
      <c r="C17" s="1734"/>
      <c r="D17" s="1734"/>
      <c r="E17" s="1735"/>
      <c r="F17" s="256"/>
      <c r="G17" s="256"/>
      <c r="H17" s="256"/>
      <c r="I17" s="256"/>
      <c r="J17" s="256"/>
    </row>
    <row r="18" spans="1:10" s="255" customFormat="1" ht="16" customHeight="1" thickBot="1">
      <c r="A18" s="336" t="s">
        <v>200</v>
      </c>
      <c r="B18" s="337"/>
      <c r="C18" s="338">
        <v>43556</v>
      </c>
      <c r="D18" s="338">
        <v>43739</v>
      </c>
      <c r="E18" s="339">
        <v>43922</v>
      </c>
      <c r="F18" s="256"/>
      <c r="G18" s="256"/>
      <c r="H18" s="256"/>
      <c r="I18" s="256"/>
      <c r="J18" s="256"/>
    </row>
    <row r="19" spans="1:10" s="255" customFormat="1" ht="16" customHeight="1">
      <c r="A19" s="340" t="s">
        <v>196</v>
      </c>
      <c r="B19" s="341"/>
      <c r="C19" s="1015">
        <v>66.91</v>
      </c>
      <c r="D19" s="1015">
        <v>67.48</v>
      </c>
      <c r="E19" s="499">
        <v>68.819999999999993</v>
      </c>
      <c r="F19" s="256"/>
      <c r="G19" s="256"/>
      <c r="H19" s="256"/>
      <c r="I19" s="256"/>
      <c r="J19" s="256"/>
    </row>
    <row r="20" spans="1:10" s="255" customFormat="1" ht="16" customHeight="1">
      <c r="A20" s="342" t="s">
        <v>197</v>
      </c>
      <c r="B20" s="341"/>
      <c r="C20" s="1016">
        <v>76.06</v>
      </c>
      <c r="D20" s="1016">
        <v>76.709999999999994</v>
      </c>
      <c r="E20" s="500">
        <v>78.23</v>
      </c>
      <c r="F20" s="256"/>
      <c r="G20" s="256"/>
      <c r="H20" s="256"/>
      <c r="I20" s="256"/>
      <c r="J20" s="256"/>
    </row>
    <row r="21" spans="1:10" s="255" customFormat="1" ht="16" customHeight="1" thickBot="1">
      <c r="A21" s="343" t="s">
        <v>198</v>
      </c>
      <c r="B21" s="344"/>
      <c r="C21" s="1017">
        <v>87.04</v>
      </c>
      <c r="D21" s="1017">
        <v>87.78</v>
      </c>
      <c r="E21" s="502">
        <v>89.52</v>
      </c>
      <c r="F21" s="256"/>
      <c r="G21" s="256"/>
      <c r="H21" s="256"/>
      <c r="I21" s="256"/>
      <c r="J21" s="256"/>
    </row>
    <row r="22" spans="1:10" s="255" customFormat="1" ht="15" thickBot="1">
      <c r="A22" s="264"/>
      <c r="B22" s="263"/>
      <c r="C22" s="263"/>
      <c r="D22" s="263"/>
      <c r="E22" s="369"/>
      <c r="F22" s="369"/>
      <c r="G22" s="282"/>
    </row>
    <row r="23" spans="1:10" s="255" customFormat="1" ht="19" thickBot="1">
      <c r="A23" s="1891" t="s">
        <v>174</v>
      </c>
      <c r="B23" s="1892"/>
      <c r="C23" s="1892"/>
      <c r="D23" s="1892"/>
      <c r="E23" s="1892"/>
      <c r="F23" s="1893"/>
      <c r="G23" s="943"/>
    </row>
    <row r="24" spans="1:10" s="255" customFormat="1" ht="15" thickBot="1">
      <c r="A24" s="1894"/>
      <c r="B24" s="1895"/>
      <c r="C24" s="1895"/>
      <c r="D24" s="338">
        <v>43556</v>
      </c>
      <c r="E24" s="969">
        <v>43739</v>
      </c>
      <c r="F24" s="968">
        <v>43922</v>
      </c>
      <c r="G24" s="944"/>
    </row>
    <row r="25" spans="1:10" s="255" customFormat="1" ht="14" customHeight="1">
      <c r="A25" s="1879" t="s">
        <v>205</v>
      </c>
      <c r="B25" s="1880"/>
      <c r="C25" s="370" t="s">
        <v>167</v>
      </c>
      <c r="D25" s="1018">
        <v>33.450000000000003</v>
      </c>
      <c r="E25" s="1018">
        <v>33.74</v>
      </c>
      <c r="F25" s="496">
        <v>34.409999999999997</v>
      </c>
      <c r="G25" s="945"/>
    </row>
    <row r="26" spans="1:10" s="255" customFormat="1" ht="14">
      <c r="A26" s="1873" t="s">
        <v>206</v>
      </c>
      <c r="B26" s="1874"/>
      <c r="C26" s="832" t="s">
        <v>167</v>
      </c>
      <c r="D26" s="1019">
        <v>50.18</v>
      </c>
      <c r="E26" s="1019">
        <v>50.61</v>
      </c>
      <c r="F26" s="497">
        <v>51.62</v>
      </c>
      <c r="G26" s="945"/>
    </row>
    <row r="27" spans="1:10" s="255" customFormat="1" ht="23" customHeight="1">
      <c r="A27" s="1875" t="s">
        <v>203</v>
      </c>
      <c r="B27" s="1876"/>
      <c r="C27" s="832" t="s">
        <v>167</v>
      </c>
      <c r="D27" s="1019">
        <v>54.63</v>
      </c>
      <c r="E27" s="1019">
        <v>55.09</v>
      </c>
      <c r="F27" s="497">
        <v>56.19</v>
      </c>
      <c r="G27" s="945"/>
    </row>
    <row r="28" spans="1:10" s="255" customFormat="1" ht="15.75" customHeight="1" thickBot="1">
      <c r="A28" s="1877" t="s">
        <v>204</v>
      </c>
      <c r="B28" s="1878"/>
      <c r="C28" s="345" t="s">
        <v>167</v>
      </c>
      <c r="D28" s="1020">
        <v>19.600000000000001</v>
      </c>
      <c r="E28" s="1020">
        <v>19.77</v>
      </c>
      <c r="F28" s="498">
        <v>20.16</v>
      </c>
      <c r="G28" s="945"/>
    </row>
    <row r="29" spans="1:10" s="255" customFormat="1" ht="15" thickBot="1">
      <c r="A29" s="245"/>
      <c r="B29" s="245"/>
      <c r="C29" s="245"/>
      <c r="D29" s="245"/>
      <c r="E29" s="245"/>
      <c r="F29" s="246"/>
      <c r="G29" s="245"/>
    </row>
    <row r="30" spans="1:10" s="255" customFormat="1" ht="19" thickBot="1">
      <c r="A30" s="1736" t="s">
        <v>208</v>
      </c>
      <c r="B30" s="1734"/>
      <c r="C30" s="1734"/>
      <c r="D30" s="1734"/>
      <c r="E30" s="1734"/>
      <c r="F30" s="1734"/>
      <c r="G30" s="1734"/>
      <c r="H30" s="1734"/>
      <c r="I30" s="1734"/>
      <c r="J30" s="1735"/>
    </row>
    <row r="31" spans="1:10" s="255" customFormat="1" ht="15" customHeight="1" thickBot="1">
      <c r="A31" s="1868" t="s">
        <v>209</v>
      </c>
      <c r="B31" s="1870" t="s">
        <v>215</v>
      </c>
      <c r="C31" s="1871"/>
      <c r="D31" s="1872"/>
      <c r="E31" s="1870" t="s">
        <v>217</v>
      </c>
      <c r="F31" s="1871"/>
      <c r="G31" s="1872"/>
      <c r="H31" s="1870" t="s">
        <v>216</v>
      </c>
      <c r="I31" s="1871"/>
      <c r="J31" s="1872"/>
    </row>
    <row r="32" spans="1:10" s="255" customFormat="1" ht="15" thickBot="1">
      <c r="A32" s="1869"/>
      <c r="B32" s="331">
        <v>43556</v>
      </c>
      <c r="C32" s="331">
        <v>43739</v>
      </c>
      <c r="D32" s="331">
        <v>43922</v>
      </c>
      <c r="E32" s="331">
        <v>43556</v>
      </c>
      <c r="F32" s="332">
        <v>43739</v>
      </c>
      <c r="G32" s="331">
        <v>43922</v>
      </c>
      <c r="H32" s="333">
        <v>43556</v>
      </c>
      <c r="I32" s="331">
        <v>43739</v>
      </c>
      <c r="J32" s="333">
        <v>43922</v>
      </c>
    </row>
    <row r="33" spans="1:10" s="255" customFormat="1" ht="15" customHeight="1">
      <c r="A33" s="326" t="s">
        <v>210</v>
      </c>
      <c r="B33" s="1021">
        <v>583.89</v>
      </c>
      <c r="C33" s="1021">
        <v>588.91</v>
      </c>
      <c r="D33" s="946">
        <v>600.57000000000005</v>
      </c>
      <c r="E33" s="1024">
        <v>876.09</v>
      </c>
      <c r="F33" s="1025">
        <v>883.63</v>
      </c>
      <c r="G33" s="947">
        <v>901.12</v>
      </c>
      <c r="H33" s="1030">
        <v>1167.77</v>
      </c>
      <c r="I33" s="1024">
        <v>1177.82</v>
      </c>
      <c r="J33" s="948">
        <v>1201.1400000000001</v>
      </c>
    </row>
    <row r="34" spans="1:10" s="255" customFormat="1" ht="15" customHeight="1">
      <c r="A34" s="326" t="s">
        <v>211</v>
      </c>
      <c r="B34" s="1022">
        <v>583.89</v>
      </c>
      <c r="C34" s="1022">
        <v>588.91</v>
      </c>
      <c r="D34" s="949">
        <v>600.57000000000005</v>
      </c>
      <c r="E34" s="1026">
        <v>876.09</v>
      </c>
      <c r="F34" s="1027">
        <v>883.63</v>
      </c>
      <c r="G34" s="301">
        <v>901.12</v>
      </c>
      <c r="H34" s="1031">
        <v>1167.77</v>
      </c>
      <c r="I34" s="1026">
        <v>1177.82</v>
      </c>
      <c r="J34" s="950">
        <v>1201.1400000000001</v>
      </c>
    </row>
    <row r="35" spans="1:10" s="255" customFormat="1" ht="15" customHeight="1">
      <c r="A35" s="326" t="s">
        <v>212</v>
      </c>
      <c r="B35" s="1022">
        <v>583.89</v>
      </c>
      <c r="C35" s="1022">
        <v>588.91</v>
      </c>
      <c r="D35" s="949">
        <v>600.57000000000005</v>
      </c>
      <c r="E35" s="1026">
        <v>1167.77</v>
      </c>
      <c r="F35" s="1027">
        <v>1177.82</v>
      </c>
      <c r="G35" s="301">
        <v>1201.1400000000001</v>
      </c>
      <c r="H35" s="1031">
        <v>1751.66</v>
      </c>
      <c r="I35" s="1026">
        <v>1766.72</v>
      </c>
      <c r="J35" s="950">
        <v>1801.71</v>
      </c>
    </row>
    <row r="36" spans="1:10" s="255" customFormat="1" ht="15" customHeight="1">
      <c r="A36" s="326" t="s">
        <v>213</v>
      </c>
      <c r="B36" s="1022">
        <v>583.89</v>
      </c>
      <c r="C36" s="1022">
        <v>588.91</v>
      </c>
      <c r="D36" s="949">
        <v>600.57000000000005</v>
      </c>
      <c r="E36" s="1026">
        <v>1167.77</v>
      </c>
      <c r="F36" s="1027">
        <v>1177.82</v>
      </c>
      <c r="G36" s="301">
        <v>1201.1400000000001</v>
      </c>
      <c r="H36" s="1031">
        <v>1751.66</v>
      </c>
      <c r="I36" s="1026">
        <v>1766.72</v>
      </c>
      <c r="J36" s="950">
        <v>1801.71</v>
      </c>
    </row>
    <row r="37" spans="1:10" s="255" customFormat="1" ht="15" customHeight="1" thickBot="1">
      <c r="A37" s="327" t="s">
        <v>214</v>
      </c>
      <c r="B37" s="1023">
        <v>1751.66</v>
      </c>
      <c r="C37" s="1023">
        <v>1766.72</v>
      </c>
      <c r="D37" s="951">
        <v>1801.71</v>
      </c>
      <c r="E37" s="1028">
        <v>2335.5500000000002</v>
      </c>
      <c r="F37" s="1029">
        <v>2355.63</v>
      </c>
      <c r="G37" s="307">
        <v>2402.27</v>
      </c>
      <c r="H37" s="1032">
        <v>2919.43</v>
      </c>
      <c r="I37" s="1028">
        <v>2944.54</v>
      </c>
      <c r="J37" s="952">
        <v>3002.84</v>
      </c>
    </row>
    <row r="38" spans="1:10" s="255" customFormat="1" ht="15" thickBot="1">
      <c r="A38" s="245"/>
      <c r="B38" s="245"/>
      <c r="C38" s="245"/>
      <c r="D38" s="245"/>
      <c r="E38" s="245"/>
      <c r="F38" s="246"/>
      <c r="G38" s="245"/>
    </row>
    <row r="39" spans="1:10" s="255" customFormat="1" ht="19" thickBot="1">
      <c r="A39" s="1733" t="s">
        <v>218</v>
      </c>
      <c r="B39" s="1734"/>
      <c r="C39" s="1734"/>
      <c r="D39" s="1734"/>
      <c r="E39" s="1734"/>
      <c r="F39" s="1734"/>
      <c r="G39" s="1734"/>
      <c r="H39" s="1734"/>
      <c r="I39" s="1734"/>
      <c r="J39" s="1735"/>
    </row>
    <row r="40" spans="1:10" s="255" customFormat="1" ht="15" customHeight="1" thickBot="1">
      <c r="A40" s="1868" t="s">
        <v>209</v>
      </c>
      <c r="B40" s="1870" t="s">
        <v>215</v>
      </c>
      <c r="C40" s="1871"/>
      <c r="D40" s="1872"/>
      <c r="E40" s="1871" t="s">
        <v>217</v>
      </c>
      <c r="F40" s="1871"/>
      <c r="G40" s="1871"/>
      <c r="H40" s="1870" t="s">
        <v>216</v>
      </c>
      <c r="I40" s="1871"/>
      <c r="J40" s="1872"/>
    </row>
    <row r="41" spans="1:10" s="255" customFormat="1" ht="15" thickBot="1">
      <c r="A41" s="1869"/>
      <c r="B41" s="329">
        <v>43556</v>
      </c>
      <c r="C41" s="329">
        <v>43739</v>
      </c>
      <c r="D41" s="329">
        <v>43922</v>
      </c>
      <c r="E41" s="329">
        <v>43556</v>
      </c>
      <c r="F41" s="329">
        <v>43739</v>
      </c>
      <c r="G41" s="329">
        <v>43922</v>
      </c>
      <c r="H41" s="330">
        <v>43556</v>
      </c>
      <c r="I41" s="329">
        <v>43739</v>
      </c>
      <c r="J41" s="330">
        <v>43922</v>
      </c>
    </row>
    <row r="42" spans="1:10" s="255" customFormat="1" ht="15" customHeight="1">
      <c r="A42" s="324" t="s">
        <v>219</v>
      </c>
      <c r="B42" s="1033">
        <v>583.89</v>
      </c>
      <c r="C42" s="1033">
        <v>588.91</v>
      </c>
      <c r="D42" s="953">
        <v>600.57000000000005</v>
      </c>
      <c r="E42" s="1034">
        <v>1167.77</v>
      </c>
      <c r="F42" s="1033">
        <v>1177.82</v>
      </c>
      <c r="G42" s="954">
        <v>1201.1400000000001</v>
      </c>
      <c r="H42" s="1034">
        <v>1751.66</v>
      </c>
      <c r="I42" s="1034">
        <v>1766.72</v>
      </c>
      <c r="J42" s="954">
        <v>1801.71</v>
      </c>
    </row>
    <row r="43" spans="1:10" s="255" customFormat="1" ht="15" customHeight="1">
      <c r="A43" s="324" t="s">
        <v>214</v>
      </c>
      <c r="B43" s="1022">
        <v>1751.66</v>
      </c>
      <c r="C43" s="1022">
        <v>1766.72</v>
      </c>
      <c r="D43" s="949">
        <v>1801.71</v>
      </c>
      <c r="E43" s="1026">
        <v>2335.5500000000002</v>
      </c>
      <c r="F43" s="1022">
        <v>2355.63</v>
      </c>
      <c r="G43" s="301">
        <v>2402.27</v>
      </c>
      <c r="H43" s="1026">
        <v>2919.43</v>
      </c>
      <c r="I43" s="1026">
        <v>2944.54</v>
      </c>
      <c r="J43" s="301">
        <v>3002.84</v>
      </c>
    </row>
    <row r="44" spans="1:10" s="255" customFormat="1" ht="15" customHeight="1">
      <c r="A44" s="324" t="s">
        <v>220</v>
      </c>
      <c r="B44" s="1026">
        <v>1167.77</v>
      </c>
      <c r="C44" s="1022">
        <v>1177.82</v>
      </c>
      <c r="D44" s="301">
        <v>1201.1400000000001</v>
      </c>
      <c r="E44" s="1026">
        <v>1751.66</v>
      </c>
      <c r="F44" s="1022">
        <v>1766.72</v>
      </c>
      <c r="G44" s="301">
        <v>1801.71</v>
      </c>
      <c r="H44" s="1026">
        <v>2335.5500000000002</v>
      </c>
      <c r="I44" s="1026">
        <v>2355.63</v>
      </c>
      <c r="J44" s="301">
        <v>2402.27</v>
      </c>
    </row>
    <row r="45" spans="1:10" s="255" customFormat="1" ht="15" customHeight="1">
      <c r="A45" s="324" t="s">
        <v>221</v>
      </c>
      <c r="B45" s="1026">
        <v>1167.77</v>
      </c>
      <c r="C45" s="1022">
        <v>1177.82</v>
      </c>
      <c r="D45" s="301">
        <v>1201.1400000000001</v>
      </c>
      <c r="E45" s="1026">
        <v>1167.77</v>
      </c>
      <c r="F45" s="1022">
        <v>1177.82</v>
      </c>
      <c r="G45" s="301">
        <v>1201.1400000000001</v>
      </c>
      <c r="H45" s="1026">
        <v>1167.77</v>
      </c>
      <c r="I45" s="1026">
        <v>1177.82</v>
      </c>
      <c r="J45" s="301">
        <v>1201.1400000000001</v>
      </c>
    </row>
    <row r="46" spans="1:10" s="255" customFormat="1" ht="15" customHeight="1">
      <c r="A46" s="324" t="s">
        <v>337</v>
      </c>
      <c r="B46" s="1022">
        <v>583.89</v>
      </c>
      <c r="C46" s="1022">
        <v>588.91</v>
      </c>
      <c r="D46" s="949">
        <v>600.57000000000005</v>
      </c>
      <c r="E46" s="1026">
        <v>876.09</v>
      </c>
      <c r="F46" s="1022">
        <v>883.63</v>
      </c>
      <c r="G46" s="301">
        <v>901.12</v>
      </c>
      <c r="H46" s="1026">
        <v>1167.77</v>
      </c>
      <c r="I46" s="1026">
        <v>1177.82</v>
      </c>
      <c r="J46" s="301">
        <v>1201.1400000000001</v>
      </c>
    </row>
    <row r="47" spans="1:10" s="255" customFormat="1" ht="15" customHeight="1" thickBot="1">
      <c r="A47" s="325" t="s">
        <v>222</v>
      </c>
      <c r="B47" s="1028">
        <v>1167.77</v>
      </c>
      <c r="C47" s="1023">
        <v>1177.82</v>
      </c>
      <c r="D47" s="307">
        <v>1201.1400000000001</v>
      </c>
      <c r="E47" s="1028">
        <v>1751.66</v>
      </c>
      <c r="F47" s="1023">
        <v>1766.72</v>
      </c>
      <c r="G47" s="307">
        <v>1801.71</v>
      </c>
      <c r="H47" s="1028">
        <v>2335.5500000000002</v>
      </c>
      <c r="I47" s="1028">
        <v>2355.63</v>
      </c>
      <c r="J47" s="307">
        <v>2402.27</v>
      </c>
    </row>
    <row r="48" spans="1:10" s="255" customFormat="1" ht="9" customHeight="1">
      <c r="A48" s="955"/>
      <c r="B48" s="956"/>
      <c r="C48" s="956"/>
      <c r="D48" s="957"/>
      <c r="E48" s="956"/>
      <c r="F48" s="956"/>
      <c r="G48" s="957"/>
      <c r="H48" s="958"/>
      <c r="I48" s="957"/>
      <c r="J48" s="957"/>
    </row>
    <row r="49" spans="1:10" s="255" customFormat="1" ht="15" customHeight="1">
      <c r="A49" s="255" t="s">
        <v>243</v>
      </c>
      <c r="F49" s="323"/>
      <c r="G49" s="245"/>
      <c r="H49" s="958"/>
      <c r="I49" s="957"/>
      <c r="J49" s="957"/>
    </row>
    <row r="50" spans="1:10" s="255" customFormat="1" ht="12.75" customHeight="1">
      <c r="A50" s="510" t="s">
        <v>207</v>
      </c>
      <c r="F50" s="323"/>
      <c r="G50" s="245"/>
      <c r="H50" s="958"/>
      <c r="I50" s="957"/>
      <c r="J50" s="957"/>
    </row>
    <row r="51" spans="1:10" s="369" customFormat="1" ht="25.5" customHeight="1" thickBot="1">
      <c r="A51" s="511" t="s">
        <v>500</v>
      </c>
    </row>
    <row r="52" spans="1:10" s="369" customFormat="1" ht="19" thickBot="1">
      <c r="A52" s="1733" t="s">
        <v>241</v>
      </c>
      <c r="B52" s="1734"/>
      <c r="C52" s="1734"/>
      <c r="D52" s="1734"/>
      <c r="E52" s="1734"/>
      <c r="F52" s="1734"/>
      <c r="G52" s="1735"/>
      <c r="H52" s="959"/>
    </row>
    <row r="53" spans="1:10" s="369" customFormat="1" ht="16" customHeight="1" thickBot="1">
      <c r="A53" s="1865" t="s">
        <v>450</v>
      </c>
      <c r="B53" s="1866"/>
      <c r="C53" s="1866"/>
      <c r="D53" s="1866"/>
      <c r="E53" s="1866"/>
      <c r="F53" s="1866"/>
      <c r="G53" s="1867"/>
    </row>
    <row r="54" spans="1:10" s="369" customFormat="1" ht="15" thickBot="1">
      <c r="A54" s="970"/>
      <c r="B54" s="805">
        <v>43191</v>
      </c>
      <c r="C54" s="604">
        <v>43374</v>
      </c>
      <c r="D54" s="806">
        <v>43556</v>
      </c>
      <c r="E54" s="805">
        <v>43739</v>
      </c>
      <c r="F54" s="604">
        <v>43922</v>
      </c>
      <c r="G54" s="806">
        <v>44228</v>
      </c>
    </row>
    <row r="55" spans="1:10" s="369" customFormat="1" ht="15" thickBot="1">
      <c r="A55" s="940" t="s">
        <v>242</v>
      </c>
      <c r="B55" s="1035">
        <v>1.63</v>
      </c>
      <c r="C55" s="1012">
        <v>1.03</v>
      </c>
      <c r="D55" s="1036">
        <v>1.82</v>
      </c>
      <c r="E55" s="1035">
        <v>0.86</v>
      </c>
      <c r="F55" s="960">
        <v>1.98</v>
      </c>
      <c r="G55" s="1036">
        <v>0.68</v>
      </c>
      <c r="H55" s="248"/>
    </row>
    <row r="56" spans="1:10" s="369" customFormat="1" ht="15" thickBot="1">
      <c r="A56" s="961"/>
      <c r="B56" s="962"/>
      <c r="C56" s="963"/>
      <c r="D56" s="963"/>
    </row>
    <row r="57" spans="1:10" s="255" customFormat="1" ht="19" thickBot="1">
      <c r="A57" s="1733" t="s">
        <v>456</v>
      </c>
      <c r="B57" s="1734"/>
      <c r="C57" s="1734"/>
      <c r="D57" s="1735"/>
    </row>
    <row r="58" spans="1:10" s="255" customFormat="1" ht="15" thickBot="1">
      <c r="A58" s="1865" t="s">
        <v>458</v>
      </c>
      <c r="B58" s="1866"/>
      <c r="C58" s="1866"/>
      <c r="D58" s="1867"/>
    </row>
    <row r="59" spans="1:10" s="255" customFormat="1" ht="15" thickBot="1">
      <c r="A59" s="971"/>
      <c r="B59" s="335">
        <v>43556</v>
      </c>
      <c r="C59" s="334">
        <v>43739</v>
      </c>
      <c r="D59" s="335">
        <v>43922</v>
      </c>
    </row>
    <row r="60" spans="1:10" s="255" customFormat="1" ht="15" thickBot="1">
      <c r="A60" s="940" t="s">
        <v>457</v>
      </c>
      <c r="B60" s="1013">
        <v>3136.37</v>
      </c>
      <c r="C60" s="1014">
        <v>3136.34</v>
      </c>
      <c r="D60" s="941">
        <v>3225.97</v>
      </c>
    </row>
    <row r="61" spans="1:10" s="255" customFormat="1" ht="14">
      <c r="A61" s="964"/>
      <c r="B61" s="964"/>
      <c r="C61" s="965"/>
      <c r="D61" s="965"/>
    </row>
    <row r="62" spans="1:10" ht="14">
      <c r="A62" s="964"/>
      <c r="B62" s="964"/>
      <c r="C62" s="965"/>
      <c r="D62" s="965"/>
      <c r="E62" s="255"/>
      <c r="F62" s="255"/>
      <c r="G62" s="255"/>
      <c r="H62" s="255"/>
      <c r="I62" s="255"/>
      <c r="J62" s="255"/>
    </row>
    <row r="63" spans="1:10" ht="14">
      <c r="A63" s="966"/>
      <c r="B63" s="966"/>
      <c r="C63" s="967"/>
      <c r="D63" s="965"/>
      <c r="E63" s="831"/>
      <c r="F63" s="831"/>
      <c r="G63" s="831"/>
      <c r="H63" s="831"/>
      <c r="I63" s="255"/>
      <c r="J63" s="255"/>
    </row>
    <row r="64" spans="1:10" ht="14">
      <c r="A64" s="966"/>
      <c r="B64" s="966"/>
      <c r="C64" s="967"/>
      <c r="D64" s="965"/>
      <c r="E64" s="255"/>
      <c r="F64" s="255"/>
      <c r="G64" s="255"/>
      <c r="H64" s="255"/>
      <c r="I64" s="255"/>
      <c r="J64" s="255"/>
    </row>
    <row r="65" spans="1:10" ht="14">
      <c r="A65" s="282"/>
      <c r="B65" s="282"/>
      <c r="C65" s="282"/>
      <c r="D65" s="282"/>
      <c r="E65" s="255"/>
      <c r="F65" s="255"/>
      <c r="G65" s="255"/>
      <c r="H65" s="255"/>
      <c r="I65" s="255"/>
      <c r="J65" s="255"/>
    </row>
    <row r="66" spans="1:10" ht="14">
      <c r="A66" s="255"/>
      <c r="B66" s="255"/>
      <c r="C66" s="255"/>
      <c r="D66" s="255"/>
      <c r="E66" s="255"/>
      <c r="F66" s="255"/>
      <c r="G66" s="255"/>
      <c r="H66" s="255"/>
      <c r="I66" s="255"/>
      <c r="J66" s="255"/>
    </row>
    <row r="67" spans="1:10" ht="14">
      <c r="A67" s="255"/>
      <c r="B67" s="255"/>
      <c r="C67" s="255"/>
      <c r="D67" s="255"/>
      <c r="E67" s="255"/>
      <c r="F67" s="255"/>
      <c r="G67" s="255"/>
      <c r="H67" s="255"/>
      <c r="I67" s="255"/>
      <c r="J67" s="255"/>
    </row>
    <row r="68" spans="1:10" ht="14">
      <c r="A68" s="255"/>
      <c r="B68" s="255"/>
      <c r="C68" s="255"/>
      <c r="D68" s="255"/>
      <c r="E68" s="255"/>
      <c r="F68" s="255"/>
      <c r="G68" s="255"/>
      <c r="H68" s="255"/>
      <c r="I68" s="255"/>
      <c r="J68" s="255"/>
    </row>
    <row r="69" spans="1:10" ht="14">
      <c r="A69" s="255"/>
      <c r="B69" s="255"/>
      <c r="C69" s="255"/>
      <c r="D69" s="255"/>
    </row>
    <row r="70" spans="1:10" ht="14">
      <c r="A70" s="831"/>
      <c r="B70" s="831"/>
      <c r="C70" s="831"/>
      <c r="D70" s="831"/>
    </row>
    <row r="71" spans="1:10" s="255" customFormat="1" ht="14">
      <c r="A71" s="831"/>
      <c r="E71" s="328"/>
      <c r="F71" s="328"/>
      <c r="G71" s="328"/>
      <c r="H71" s="328"/>
      <c r="I71" s="328"/>
      <c r="J71" s="328"/>
    </row>
    <row r="72" spans="1:10" s="255" customFormat="1" ht="14">
      <c r="E72" s="328"/>
      <c r="F72" s="328"/>
      <c r="G72" s="328"/>
      <c r="H72" s="328"/>
      <c r="I72" s="328"/>
      <c r="J72" s="328"/>
    </row>
    <row r="73" spans="1:10" s="255" customFormat="1" ht="14">
      <c r="E73" s="328"/>
      <c r="F73" s="328"/>
      <c r="G73" s="328"/>
      <c r="H73" s="328"/>
      <c r="I73" s="328"/>
      <c r="J73" s="328"/>
    </row>
    <row r="74" spans="1:10" s="255" customFormat="1" ht="14">
      <c r="E74" s="328"/>
      <c r="F74" s="328"/>
      <c r="G74" s="328"/>
      <c r="H74" s="328"/>
      <c r="I74" s="328"/>
      <c r="J74" s="328"/>
    </row>
    <row r="75" spans="1:10" s="255" customFormat="1" ht="14">
      <c r="E75" s="328"/>
      <c r="F75" s="328"/>
      <c r="G75" s="328"/>
      <c r="H75" s="328"/>
      <c r="I75" s="328"/>
      <c r="J75" s="328"/>
    </row>
    <row r="76" spans="1:10" s="255" customFormat="1" ht="14">
      <c r="A76" s="328"/>
      <c r="B76" s="328"/>
      <c r="C76" s="328"/>
      <c r="D76" s="328"/>
      <c r="E76" s="328"/>
      <c r="F76" s="328"/>
      <c r="G76" s="328"/>
      <c r="H76" s="328"/>
      <c r="I76" s="328"/>
      <c r="J76" s="328"/>
    </row>
    <row r="77" spans="1:10" s="255" customFormat="1" ht="14">
      <c r="A77" s="328"/>
      <c r="B77" s="328"/>
      <c r="C77" s="328"/>
      <c r="D77" s="328"/>
      <c r="E77" s="328"/>
      <c r="F77" s="328"/>
      <c r="G77" s="328"/>
      <c r="H77" s="328"/>
      <c r="I77" s="328"/>
      <c r="J77" s="328"/>
    </row>
    <row r="78" spans="1:10" s="255" customFormat="1" ht="14">
      <c r="A78" s="328"/>
      <c r="B78" s="328"/>
      <c r="C78" s="328"/>
      <c r="D78" s="328"/>
    </row>
    <row r="79" spans="1:10" s="255" customFormat="1" ht="14">
      <c r="A79" s="328"/>
      <c r="B79" s="328"/>
      <c r="C79" s="328"/>
      <c r="D79" s="328"/>
    </row>
    <row r="80" spans="1:10" s="255" customFormat="1" ht="14">
      <c r="A80" s="328"/>
      <c r="B80" s="328"/>
      <c r="C80" s="328"/>
      <c r="D80" s="328"/>
    </row>
    <row r="81" spans="1:4" s="255" customFormat="1" ht="14">
      <c r="A81" s="328"/>
      <c r="B81" s="328"/>
      <c r="C81" s="328"/>
      <c r="D81" s="328"/>
    </row>
    <row r="82" spans="1:4" s="255" customFormat="1" ht="14">
      <c r="A82" s="328"/>
      <c r="B82" s="328"/>
      <c r="C82" s="328"/>
      <c r="D82" s="328"/>
    </row>
    <row r="83" spans="1:4" s="255" customFormat="1" ht="14">
      <c r="A83" s="328"/>
      <c r="B83" s="328"/>
      <c r="C83" s="328"/>
      <c r="D83" s="328"/>
    </row>
    <row r="84" spans="1:4" s="255" customFormat="1" ht="14">
      <c r="A84" s="328"/>
      <c r="B84" s="328"/>
      <c r="C84" s="328"/>
      <c r="D84" s="328"/>
    </row>
    <row r="85" spans="1:4" s="255" customFormat="1" ht="14"/>
    <row r="86" spans="1:4" s="255" customFormat="1" ht="14"/>
    <row r="87" spans="1:4" s="255" customFormat="1" ht="14"/>
    <row r="88" spans="1:4" s="255" customFormat="1" ht="14"/>
    <row r="89" spans="1:4" s="255" customFormat="1" ht="14"/>
    <row r="90" spans="1:4" s="255" customFormat="1" ht="14"/>
    <row r="91" spans="1:4" s="255" customFormat="1" ht="14"/>
    <row r="92" spans="1:4" s="255" customFormat="1" ht="14"/>
    <row r="93" spans="1:4" s="255" customFormat="1" ht="14"/>
    <row r="94" spans="1:4" s="255" customFormat="1" ht="14"/>
    <row r="95" spans="1:4" s="255" customFormat="1" ht="14"/>
    <row r="96" spans="1:4" s="255" customFormat="1" ht="14"/>
    <row r="97" s="255" customFormat="1" ht="14"/>
    <row r="98" s="255" customFormat="1" ht="14"/>
    <row r="99" s="255" customFormat="1" ht="14"/>
    <row r="100" s="255" customFormat="1" ht="14"/>
    <row r="101" s="255" customFormat="1" ht="14"/>
    <row r="102" s="255" customFormat="1" ht="14"/>
    <row r="103" s="255" customFormat="1" ht="14"/>
    <row r="104" s="255" customFormat="1" ht="14"/>
    <row r="105" s="255" customFormat="1" ht="14"/>
    <row r="106" s="255" customFormat="1" ht="14"/>
    <row r="107" s="255" customFormat="1" ht="14"/>
    <row r="108" s="255" customFormat="1" ht="14"/>
    <row r="109" s="255" customFormat="1" ht="14"/>
    <row r="110" s="255" customFormat="1" ht="14"/>
    <row r="111" s="255" customFormat="1" ht="14"/>
    <row r="112" s="255" customFormat="1" ht="14"/>
    <row r="113" s="255" customFormat="1" ht="14"/>
    <row r="114" s="255" customFormat="1" ht="14"/>
    <row r="115" s="255" customFormat="1" ht="14"/>
    <row r="116" s="255" customFormat="1" ht="14"/>
    <row r="117" s="255" customFormat="1" ht="14"/>
    <row r="118" s="255" customFormat="1" ht="14"/>
    <row r="119" s="255" customFormat="1" ht="14"/>
    <row r="120" s="255" customFormat="1" ht="14"/>
    <row r="121" s="255" customFormat="1" ht="14"/>
    <row r="122" s="255" customFormat="1" ht="14"/>
    <row r="123" s="255" customFormat="1" ht="14"/>
    <row r="124" s="255" customFormat="1" ht="14"/>
    <row r="125" s="255" customFormat="1" ht="14"/>
    <row r="126" s="255" customFormat="1" ht="14"/>
    <row r="127" s="255" customFormat="1" ht="14"/>
    <row r="128" s="255" customFormat="1" ht="14"/>
    <row r="129" s="255" customFormat="1" ht="14"/>
    <row r="130" s="255" customFormat="1" ht="14"/>
    <row r="131" s="255" customFormat="1" ht="14"/>
    <row r="132" s="255" customFormat="1" ht="14"/>
    <row r="133" s="255" customFormat="1" ht="14"/>
    <row r="134" s="255" customFormat="1" ht="14"/>
    <row r="135" s="255" customFormat="1" ht="14"/>
    <row r="136" s="255" customFormat="1" ht="14"/>
    <row r="137" s="255" customFormat="1" ht="14"/>
    <row r="138" s="255" customFormat="1" ht="14"/>
    <row r="139" s="255" customFormat="1" ht="14"/>
    <row r="140" s="255" customFormat="1" ht="14"/>
    <row r="141" s="255" customFormat="1" ht="14"/>
    <row r="142" s="255" customFormat="1" ht="14"/>
    <row r="143" s="255" customFormat="1" ht="14"/>
    <row r="144" s="255" customFormat="1" ht="14"/>
    <row r="145" spans="1:10" s="255" customFormat="1" ht="14"/>
    <row r="146" spans="1:10" s="255" customFormat="1" ht="14"/>
    <row r="147" spans="1:10" s="255" customFormat="1" ht="14"/>
    <row r="148" spans="1:10" s="255" customFormat="1" ht="14"/>
    <row r="149" spans="1:10" s="255" customFormat="1" ht="14"/>
    <row r="150" spans="1:10" s="255" customFormat="1" ht="14"/>
    <row r="151" spans="1:10" s="255" customFormat="1" ht="14"/>
    <row r="152" spans="1:10" s="255" customFormat="1" ht="14"/>
    <row r="153" spans="1:10" ht="14">
      <c r="A153" s="255"/>
      <c r="B153" s="255"/>
      <c r="C153" s="255"/>
      <c r="D153" s="255"/>
      <c r="E153" s="255"/>
      <c r="F153" s="255"/>
      <c r="G153" s="255"/>
      <c r="H153" s="255"/>
      <c r="I153" s="255"/>
      <c r="J153" s="255"/>
    </row>
    <row r="154" spans="1:10" ht="14">
      <c r="A154" s="255"/>
      <c r="B154" s="255"/>
      <c r="C154" s="255"/>
      <c r="D154" s="255"/>
      <c r="E154" s="255"/>
      <c r="F154" s="255"/>
      <c r="G154" s="255"/>
      <c r="H154" s="255"/>
      <c r="I154" s="255"/>
      <c r="J154" s="255"/>
    </row>
    <row r="155" spans="1:10" ht="14">
      <c r="A155" s="255"/>
      <c r="B155" s="255"/>
      <c r="C155" s="255"/>
      <c r="D155" s="255"/>
      <c r="E155" s="255"/>
      <c r="F155" s="255"/>
      <c r="G155" s="255"/>
      <c r="H155" s="255"/>
      <c r="I155" s="255"/>
      <c r="J155" s="255"/>
    </row>
    <row r="156" spans="1:10" ht="14">
      <c r="A156" s="255"/>
      <c r="B156" s="255"/>
      <c r="C156" s="255"/>
      <c r="D156" s="255"/>
      <c r="E156" s="255"/>
      <c r="F156" s="255"/>
      <c r="G156" s="255"/>
      <c r="H156" s="255"/>
      <c r="I156" s="255"/>
      <c r="J156" s="255"/>
    </row>
    <row r="157" spans="1:10" ht="14">
      <c r="A157" s="255"/>
      <c r="B157" s="255"/>
      <c r="C157" s="255"/>
      <c r="D157" s="255"/>
      <c r="E157" s="255"/>
      <c r="F157" s="255"/>
      <c r="G157" s="255"/>
      <c r="H157" s="255"/>
      <c r="I157" s="255"/>
      <c r="J157" s="255"/>
    </row>
    <row r="158" spans="1:10" ht="14">
      <c r="A158" s="255"/>
      <c r="B158" s="255"/>
      <c r="C158" s="255"/>
      <c r="D158" s="255"/>
      <c r="E158" s="255"/>
      <c r="F158" s="255"/>
      <c r="G158" s="255"/>
      <c r="H158" s="255"/>
      <c r="I158" s="255"/>
      <c r="J158" s="255"/>
    </row>
    <row r="159" spans="1:10" ht="14">
      <c r="A159" s="255"/>
      <c r="B159" s="255"/>
      <c r="C159" s="255"/>
      <c r="D159" s="255"/>
      <c r="E159" s="255"/>
      <c r="F159" s="255"/>
      <c r="G159" s="255"/>
      <c r="H159" s="255"/>
      <c r="I159" s="255"/>
      <c r="J159" s="255"/>
    </row>
    <row r="160" spans="1:10" ht="14">
      <c r="A160" s="255"/>
      <c r="B160" s="255"/>
      <c r="C160" s="255"/>
      <c r="D160" s="255"/>
    </row>
    <row r="161" spans="1:4" ht="14">
      <c r="A161" s="255"/>
      <c r="B161" s="255"/>
      <c r="C161" s="255"/>
      <c r="D161" s="255"/>
    </row>
    <row r="162" spans="1:4" ht="14">
      <c r="A162" s="255"/>
      <c r="B162" s="255"/>
      <c r="C162" s="255"/>
      <c r="D162" s="255"/>
    </row>
    <row r="163" spans="1:4" ht="14">
      <c r="A163" s="255"/>
      <c r="B163" s="255"/>
      <c r="C163" s="255"/>
      <c r="D163" s="255"/>
    </row>
    <row r="164" spans="1:4" ht="14">
      <c r="A164" s="255"/>
      <c r="B164" s="255"/>
      <c r="C164" s="255"/>
      <c r="D164" s="255"/>
    </row>
    <row r="165" spans="1:4" ht="14">
      <c r="A165" s="255"/>
      <c r="B165" s="255"/>
      <c r="C165" s="255"/>
      <c r="D165" s="255"/>
    </row>
    <row r="166" spans="1:4" ht="14">
      <c r="A166" s="255"/>
      <c r="B166" s="255"/>
      <c r="C166" s="255"/>
      <c r="D166" s="255"/>
    </row>
  </sheetData>
  <sheetProtection algorithmName="SHA-512" hashValue="lRKc5lFDE0ygAv5zSY3GyFeNji5wELjotlnPb/6N/ttbmu0XGnc3wYbC7r7PRs1zrcUaK9S7RpmnjORTVwMk/A==" saltValue="xsjwFhjRZ/fOMz/O0W0Smw==" spinCount="100000" sheet="1" objects="1" scenarios="1"/>
  <mergeCells count="29">
    <mergeCell ref="A25:B25"/>
    <mergeCell ref="A1:J1"/>
    <mergeCell ref="A2:J2"/>
    <mergeCell ref="A3:J3"/>
    <mergeCell ref="A4:J4"/>
    <mergeCell ref="A6:D6"/>
    <mergeCell ref="E6:H6"/>
    <mergeCell ref="A12:D12"/>
    <mergeCell ref="A13:D13"/>
    <mergeCell ref="A17:E17"/>
    <mergeCell ref="A23:F23"/>
    <mergeCell ref="A24:C24"/>
    <mergeCell ref="A26:B26"/>
    <mergeCell ref="A27:B27"/>
    <mergeCell ref="A28:B28"/>
    <mergeCell ref="A30:J30"/>
    <mergeCell ref="A31:A32"/>
    <mergeCell ref="B31:D31"/>
    <mergeCell ref="E31:G31"/>
    <mergeCell ref="H31:J31"/>
    <mergeCell ref="A53:G53"/>
    <mergeCell ref="A57:D57"/>
    <mergeCell ref="A58:D58"/>
    <mergeCell ref="A39:J39"/>
    <mergeCell ref="A40:A41"/>
    <mergeCell ref="B40:D40"/>
    <mergeCell ref="E40:G40"/>
    <mergeCell ref="H40:J40"/>
    <mergeCell ref="A52:G52"/>
  </mergeCells>
  <pageMargins left="0.25" right="0.25" top="0.75" bottom="0.75" header="0.3" footer="0.3"/>
  <pageSetup paperSize="9" scale="77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04"/>
  <sheetViews>
    <sheetView view="pageBreakPreview" zoomScaleSheetLayoutView="100" workbookViewId="0">
      <selection activeCell="D34" sqref="D34"/>
    </sheetView>
  </sheetViews>
  <sheetFormatPr baseColWidth="10" defaultColWidth="8.83203125" defaultRowHeight="15"/>
  <cols>
    <col min="1" max="1" width="13.33203125" customWidth="1"/>
    <col min="2" max="3" width="11.33203125" customWidth="1"/>
    <col min="4" max="6" width="9.83203125" customWidth="1"/>
    <col min="7" max="7" width="12.6640625" customWidth="1"/>
    <col min="8" max="8" width="12.16406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>
      <c r="A1" s="2032" t="s">
        <v>129</v>
      </c>
      <c r="B1" s="2033"/>
      <c r="C1" s="2033"/>
      <c r="D1" s="2033"/>
      <c r="E1" s="2033"/>
      <c r="F1" s="2033"/>
      <c r="G1" s="2033"/>
      <c r="H1" s="2034"/>
      <c r="I1" s="1998"/>
      <c r="J1" s="1999"/>
    </row>
    <row r="2" spans="1:20" s="38" customFormat="1" ht="12" customHeight="1" thickBot="1">
      <c r="A2" s="1997"/>
      <c r="B2" s="1997"/>
      <c r="C2" s="1997"/>
      <c r="D2" s="1997"/>
      <c r="E2" s="1997"/>
      <c r="F2" s="1997"/>
      <c r="G2" s="1997"/>
      <c r="H2" s="1997"/>
      <c r="I2" s="1997"/>
      <c r="J2" s="1997"/>
      <c r="K2" s="27"/>
      <c r="L2" s="27"/>
      <c r="M2" s="27"/>
    </row>
    <row r="3" spans="1:20" s="38" customFormat="1" ht="19" customHeight="1" thickBot="1">
      <c r="A3" s="1258" t="s">
        <v>511</v>
      </c>
      <c r="B3" s="1259"/>
      <c r="C3" s="1259"/>
      <c r="D3" s="1259"/>
      <c r="E3" s="1259"/>
      <c r="F3" s="1259"/>
      <c r="G3" s="1259"/>
      <c r="H3" s="1260"/>
      <c r="I3" s="2000"/>
      <c r="J3" s="1468"/>
      <c r="K3" s="27"/>
    </row>
    <row r="4" spans="1:20" ht="21" customHeight="1" thickBot="1">
      <c r="A4" s="97"/>
      <c r="B4" s="2010" t="s">
        <v>37</v>
      </c>
      <c r="C4" s="2011"/>
      <c r="D4" s="2011"/>
      <c r="E4" s="2011"/>
      <c r="F4" s="2011"/>
      <c r="G4" s="2011"/>
      <c r="H4" s="2012"/>
      <c r="I4" s="2000"/>
      <c r="J4" s="1468"/>
      <c r="K4" s="2"/>
    </row>
    <row r="5" spans="1:20" ht="15" customHeight="1">
      <c r="A5" s="2044"/>
      <c r="B5" s="1545" t="s">
        <v>34</v>
      </c>
      <c r="C5" s="1565"/>
      <c r="D5" s="1545" t="s">
        <v>106</v>
      </c>
      <c r="E5" s="1565"/>
      <c r="F5" s="1545" t="s">
        <v>107</v>
      </c>
      <c r="G5" s="1565"/>
      <c r="H5" s="2045" t="s">
        <v>108</v>
      </c>
      <c r="I5" s="2000"/>
      <c r="J5" s="1468"/>
      <c r="K5" s="2"/>
    </row>
    <row r="6" spans="1:20" ht="33.75" customHeight="1" thickBot="1">
      <c r="A6" s="1974"/>
      <c r="B6" s="1569"/>
      <c r="C6" s="1571"/>
      <c r="D6" s="1569"/>
      <c r="E6" s="1571"/>
      <c r="F6" s="1569"/>
      <c r="G6" s="1571"/>
      <c r="H6" s="2046"/>
      <c r="I6" s="2000"/>
      <c r="J6" s="1468"/>
      <c r="K6" s="2"/>
    </row>
    <row r="7" spans="1:20" ht="17" customHeight="1">
      <c r="A7" s="98" t="s">
        <v>35</v>
      </c>
      <c r="B7" s="2004">
        <v>94.65</v>
      </c>
      <c r="C7" s="2005"/>
      <c r="D7" s="2004">
        <v>63.1</v>
      </c>
      <c r="E7" s="2005"/>
      <c r="F7" s="2035">
        <v>31.55</v>
      </c>
      <c r="G7" s="2035"/>
      <c r="H7" s="140">
        <v>0</v>
      </c>
      <c r="I7" s="2000"/>
      <c r="J7" s="1468"/>
      <c r="K7" s="2"/>
    </row>
    <row r="8" spans="1:20" ht="17" customHeight="1" thickBot="1">
      <c r="A8" s="99" t="s">
        <v>36</v>
      </c>
      <c r="B8" s="2036">
        <v>189.35</v>
      </c>
      <c r="C8" s="2037"/>
      <c r="D8" s="2006">
        <v>126.25</v>
      </c>
      <c r="E8" s="2007"/>
      <c r="F8" s="2047">
        <v>63.1</v>
      </c>
      <c r="G8" s="2047"/>
      <c r="H8" s="141">
        <v>0</v>
      </c>
      <c r="I8" s="2000"/>
      <c r="J8" s="1468"/>
      <c r="K8" s="2"/>
    </row>
    <row r="9" spans="1:20" ht="17" customHeight="1" thickBot="1">
      <c r="A9" s="100" t="s">
        <v>22</v>
      </c>
      <c r="B9" s="2013">
        <f>SUM(B7:C8)</f>
        <v>284</v>
      </c>
      <c r="C9" s="2013"/>
      <c r="D9" s="2008">
        <f>SUM(D7:E8)</f>
        <v>189.35</v>
      </c>
      <c r="E9" s="2009"/>
      <c r="F9" s="2013">
        <f>SUM(F7:G8)</f>
        <v>94.65</v>
      </c>
      <c r="G9" s="2013"/>
      <c r="H9" s="142">
        <f>SUM(H7:I8)</f>
        <v>0</v>
      </c>
      <c r="I9" s="2000"/>
      <c r="J9" s="1468"/>
      <c r="K9" s="143"/>
    </row>
    <row r="10" spans="1:20" ht="17" customHeight="1">
      <c r="A10" s="2001" t="s">
        <v>298</v>
      </c>
      <c r="B10" s="2001"/>
      <c r="C10" s="2001"/>
      <c r="D10" s="2001"/>
      <c r="E10" s="2001"/>
      <c r="F10" s="2001"/>
      <c r="G10" s="2001"/>
      <c r="H10" s="2001"/>
      <c r="I10" s="2003"/>
      <c r="J10" s="2003"/>
      <c r="K10" s="6"/>
      <c r="L10" s="2"/>
      <c r="M10" s="143"/>
    </row>
    <row r="11" spans="1:20" ht="16" customHeight="1" thickBot="1">
      <c r="A11" s="2002"/>
      <c r="B11" s="2002"/>
      <c r="C11" s="2002"/>
      <c r="D11" s="2002"/>
      <c r="E11" s="2002"/>
      <c r="F11" s="2002"/>
      <c r="G11" s="2002"/>
      <c r="H11" s="2002"/>
      <c r="I11" s="2002"/>
      <c r="J11" s="2002"/>
      <c r="K11" s="2"/>
      <c r="L11" s="2"/>
      <c r="M11" s="2"/>
    </row>
    <row r="12" spans="1:20" s="2" customFormat="1" ht="24" customHeight="1" thickBot="1">
      <c r="A12" s="1891" t="s">
        <v>68</v>
      </c>
      <c r="B12" s="1892"/>
      <c r="C12" s="1892"/>
      <c r="D12" s="1892"/>
      <c r="E12" s="1892"/>
      <c r="F12" s="1892"/>
      <c r="G12" s="1892"/>
      <c r="H12" s="1893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>
      <c r="A13" s="2038" t="s">
        <v>231</v>
      </c>
      <c r="B13" s="2039"/>
      <c r="C13" s="2039"/>
      <c r="D13" s="2039"/>
      <c r="E13" s="2039"/>
      <c r="F13" s="2039"/>
      <c r="G13" s="2040"/>
      <c r="H13" s="114" t="s">
        <v>67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>
      <c r="A14" s="2018" t="s">
        <v>69</v>
      </c>
      <c r="B14" s="2019"/>
      <c r="C14" s="2019"/>
      <c r="D14" s="2019"/>
      <c r="E14" s="2019"/>
      <c r="F14" s="2019"/>
      <c r="G14" s="2020"/>
      <c r="H14" s="115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>
      <c r="A15" s="2021" t="s">
        <v>232</v>
      </c>
      <c r="B15" s="2022"/>
      <c r="C15" s="2022"/>
      <c r="D15" s="2022"/>
      <c r="E15" s="2022"/>
      <c r="F15" s="2022"/>
      <c r="G15" s="2023"/>
      <c r="H15" s="116" t="s">
        <v>93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>
      <c r="A16" s="2024" t="s">
        <v>188</v>
      </c>
      <c r="B16" s="2025"/>
      <c r="C16" s="2025"/>
      <c r="D16" s="2025"/>
      <c r="E16" s="2025"/>
      <c r="F16" s="2025"/>
      <c r="G16" s="2026"/>
      <c r="H16" s="2030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>
      <c r="A17" s="2027"/>
      <c r="B17" s="2028"/>
      <c r="C17" s="2028"/>
      <c r="D17" s="2028"/>
      <c r="E17" s="2028"/>
      <c r="F17" s="2028"/>
      <c r="G17" s="2029"/>
      <c r="H17" s="2031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6" customHeight="1" thickBot="1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ht="26" customHeight="1" thickBot="1">
      <c r="A19" s="1258" t="s">
        <v>300</v>
      </c>
      <c r="B19" s="1259"/>
      <c r="C19" s="1259"/>
      <c r="D19" s="1259"/>
      <c r="E19" s="1259"/>
      <c r="F19" s="1259"/>
      <c r="G19" s="1259"/>
      <c r="H19" s="1260"/>
      <c r="I19" s="20"/>
      <c r="J19" s="20"/>
      <c r="K19" s="2"/>
      <c r="L19" s="2"/>
      <c r="M19" s="2"/>
    </row>
    <row r="20" spans="1:20" ht="24" customHeight="1">
      <c r="A20" s="1973" t="s">
        <v>38</v>
      </c>
      <c r="B20" s="1545" t="s">
        <v>42</v>
      </c>
      <c r="C20" s="1564"/>
      <c r="D20" s="1565"/>
      <c r="E20" s="1545" t="s">
        <v>42</v>
      </c>
      <c r="F20" s="1564"/>
      <c r="G20" s="1564"/>
      <c r="H20" s="1565"/>
      <c r="I20" s="45"/>
      <c r="J20" s="45"/>
      <c r="K20" s="45"/>
      <c r="L20" s="2"/>
      <c r="M20" s="2"/>
      <c r="N20" s="2"/>
    </row>
    <row r="21" spans="1:20" ht="16" thickBot="1">
      <c r="A21" s="1974"/>
      <c r="B21" s="1979">
        <v>40999</v>
      </c>
      <c r="C21" s="1980"/>
      <c r="D21" s="1981"/>
      <c r="E21" s="1979" t="str">
        <f>'Løntabel gældende fra'!$D$1</f>
        <v>01/04/2020</v>
      </c>
      <c r="F21" s="1980"/>
      <c r="G21" s="1980"/>
      <c r="H21" s="1981"/>
      <c r="I21" s="1975"/>
      <c r="J21" s="1975"/>
      <c r="K21" s="1975"/>
      <c r="L21" s="2"/>
      <c r="M21" s="2"/>
      <c r="N21" s="2"/>
    </row>
    <row r="22" spans="1:20" ht="19.5" customHeight="1">
      <c r="A22" s="93" t="s">
        <v>39</v>
      </c>
      <c r="B22" s="1984">
        <v>6000</v>
      </c>
      <c r="C22" s="1985"/>
      <c r="D22" s="1986"/>
      <c r="E22" s="1976">
        <f>ROUND(B22+B22*'Løntabel gældende fra'!$D$7%,2)</f>
        <v>6619.42</v>
      </c>
      <c r="F22" s="1976"/>
      <c r="G22" s="1976"/>
      <c r="H22" s="1977"/>
      <c r="I22" s="1975"/>
      <c r="J22" s="1975"/>
      <c r="K22" s="1975"/>
      <c r="L22" s="2"/>
      <c r="M22" s="2"/>
      <c r="N22" s="2"/>
    </row>
    <row r="23" spans="1:20" ht="14" customHeight="1">
      <c r="A23" s="94" t="s">
        <v>40</v>
      </c>
      <c r="B23" s="1987">
        <v>7600</v>
      </c>
      <c r="C23" s="1988"/>
      <c r="D23" s="1989"/>
      <c r="E23" s="1982">
        <f>ROUND(B23+B23*'Løntabel gældende fra'!$D$7%,2)</f>
        <v>8384.59</v>
      </c>
      <c r="F23" s="1982"/>
      <c r="G23" s="1982"/>
      <c r="H23" s="1983"/>
      <c r="I23" s="1978"/>
      <c r="J23" s="1978"/>
      <c r="K23" s="25"/>
      <c r="L23" s="2"/>
      <c r="M23" s="2"/>
      <c r="N23" s="2"/>
    </row>
    <row r="24" spans="1:20" ht="14" customHeight="1" thickBot="1">
      <c r="A24" s="95" t="s">
        <v>41</v>
      </c>
      <c r="B24" s="1992">
        <v>9000</v>
      </c>
      <c r="C24" s="1993"/>
      <c r="D24" s="1994"/>
      <c r="E24" s="1990">
        <f>ROUND(B24+B24*'Løntabel gældende fra'!$D$7%,2)</f>
        <v>9929.1200000000008</v>
      </c>
      <c r="F24" s="1990"/>
      <c r="G24" s="1990"/>
      <c r="H24" s="1991"/>
      <c r="I24" s="1951"/>
      <c r="J24" s="1951"/>
      <c r="K24" s="26"/>
      <c r="L24" s="2"/>
      <c r="M24" s="2"/>
      <c r="N24" s="2"/>
    </row>
    <row r="25" spans="1:20" ht="14" customHeight="1" thickBot="1">
      <c r="A25" s="2"/>
      <c r="B25" s="2"/>
      <c r="C25" s="2"/>
      <c r="D25" s="2"/>
      <c r="E25" s="2"/>
      <c r="F25" s="2"/>
      <c r="G25" s="2"/>
      <c r="H25" s="2"/>
      <c r="I25" s="1951"/>
      <c r="J25" s="1951"/>
      <c r="K25" s="26"/>
      <c r="L25" s="2"/>
      <c r="M25" s="2"/>
      <c r="N25" s="2"/>
    </row>
    <row r="26" spans="1:20" ht="62.25" customHeight="1" thickBot="1">
      <c r="A26" s="1258" t="s">
        <v>417</v>
      </c>
      <c r="B26" s="1259"/>
      <c r="C26" s="1259"/>
      <c r="D26" s="1259"/>
      <c r="E26" s="1259"/>
      <c r="F26" s="1259"/>
      <c r="G26" s="1259"/>
      <c r="H26" s="1260"/>
      <c r="I26" s="2"/>
      <c r="J26" s="2"/>
      <c r="K26" s="2"/>
      <c r="L26" s="2"/>
      <c r="M26" s="2"/>
    </row>
    <row r="27" spans="1:20" ht="18.75" customHeight="1" thickBot="1">
      <c r="A27" s="1798">
        <v>2020</v>
      </c>
      <c r="B27" s="1799"/>
      <c r="C27" s="1799"/>
      <c r="D27" s="1800"/>
      <c r="E27" s="1143" t="s">
        <v>135</v>
      </c>
      <c r="F27" s="1144"/>
      <c r="G27" s="1956" t="s">
        <v>136</v>
      </c>
      <c r="H27" s="1957"/>
      <c r="I27" s="219"/>
      <c r="J27" s="27"/>
      <c r="K27" s="27"/>
      <c r="L27" s="2"/>
      <c r="M27" s="2"/>
    </row>
    <row r="28" spans="1:20" ht="62" customHeight="1" thickBot="1">
      <c r="A28" s="1958"/>
      <c r="B28" s="1959"/>
      <c r="C28" s="1959"/>
      <c r="D28" s="1960"/>
      <c r="E28" s="605" t="s">
        <v>420</v>
      </c>
      <c r="F28" s="605" t="s">
        <v>339</v>
      </c>
      <c r="G28" s="572" t="s">
        <v>420</v>
      </c>
      <c r="H28" s="606" t="s">
        <v>339</v>
      </c>
      <c r="I28" s="641"/>
      <c r="J28" s="641"/>
      <c r="K28" s="28"/>
      <c r="L28" s="27"/>
      <c r="M28" s="2"/>
      <c r="N28" s="2"/>
    </row>
    <row r="29" spans="1:20" ht="19.5" customHeight="1">
      <c r="A29" s="1954" t="s">
        <v>137</v>
      </c>
      <c r="B29" s="1955"/>
      <c r="C29" s="1955"/>
      <c r="D29" s="640"/>
      <c r="E29" s="607">
        <v>446</v>
      </c>
      <c r="F29" s="215">
        <f t="shared" ref="F29:F34" si="0">ROUND(E29/24,2)</f>
        <v>18.579999999999998</v>
      </c>
      <c r="G29" s="288">
        <v>521</v>
      </c>
      <c r="H29" s="611">
        <f t="shared" ref="H29:H34" si="1">ROUND(G29/24,2)</f>
        <v>21.71</v>
      </c>
      <c r="I29" s="641"/>
      <c r="J29" s="641"/>
      <c r="K29" s="28"/>
      <c r="L29" s="27"/>
      <c r="M29" s="2"/>
      <c r="N29" s="2"/>
    </row>
    <row r="30" spans="1:20" ht="17" customHeight="1">
      <c r="A30" s="1952" t="s">
        <v>342</v>
      </c>
      <c r="B30" s="1953"/>
      <c r="C30" s="1953"/>
      <c r="D30" s="639"/>
      <c r="E30" s="608">
        <f>(E29*15)/100</f>
        <v>66.900000000000006</v>
      </c>
      <c r="F30" s="216">
        <f t="shared" si="0"/>
        <v>2.79</v>
      </c>
      <c r="G30" s="289">
        <f>(G29*15)/100</f>
        <v>78.150000000000006</v>
      </c>
      <c r="H30" s="612">
        <f t="shared" si="1"/>
        <v>3.26</v>
      </c>
      <c r="I30" s="214"/>
      <c r="K30" s="52"/>
      <c r="L30" s="27"/>
      <c r="M30" s="2"/>
      <c r="N30" s="2"/>
    </row>
    <row r="31" spans="1:20" ht="17" customHeight="1">
      <c r="A31" s="1952" t="s">
        <v>343</v>
      </c>
      <c r="B31" s="1953"/>
      <c r="C31" s="1953"/>
      <c r="D31" s="639"/>
      <c r="E31" s="608">
        <f>(E29*30)/100</f>
        <v>133.80000000000001</v>
      </c>
      <c r="F31" s="216">
        <f t="shared" si="0"/>
        <v>5.58</v>
      </c>
      <c r="G31" s="290">
        <f>(G29*30)/100</f>
        <v>156.30000000000001</v>
      </c>
      <c r="H31" s="612">
        <f t="shared" si="1"/>
        <v>6.51</v>
      </c>
      <c r="I31" s="214"/>
      <c r="K31" s="53"/>
      <c r="L31" s="292"/>
      <c r="M31" s="2"/>
      <c r="N31" s="2"/>
    </row>
    <row r="32" spans="1:20" ht="17" customHeight="1">
      <c r="A32" s="1952" t="s">
        <v>344</v>
      </c>
      <c r="B32" s="1953"/>
      <c r="C32" s="1953"/>
      <c r="D32" s="639"/>
      <c r="E32" s="608">
        <f>(E29*30)/100</f>
        <v>133.80000000000001</v>
      </c>
      <c r="F32" s="216">
        <f t="shared" si="0"/>
        <v>5.58</v>
      </c>
      <c r="G32" s="291">
        <f>(G29*30)/100</f>
        <v>156.30000000000001</v>
      </c>
      <c r="H32" s="612">
        <f t="shared" si="1"/>
        <v>6.51</v>
      </c>
      <c r="I32" s="214"/>
      <c r="K32" s="54"/>
      <c r="L32" s="27"/>
      <c r="M32" s="2"/>
      <c r="N32" s="2"/>
    </row>
    <row r="33" spans="1:14" ht="17" customHeight="1">
      <c r="A33" s="1952" t="s">
        <v>345</v>
      </c>
      <c r="B33" s="1953"/>
      <c r="C33" s="1953"/>
      <c r="D33" s="639"/>
      <c r="E33" s="608">
        <f>(E29*75)/100</f>
        <v>334.5</v>
      </c>
      <c r="F33" s="216">
        <f t="shared" si="0"/>
        <v>13.94</v>
      </c>
      <c r="G33" s="290">
        <f>(G29*75)/100</f>
        <v>390.75</v>
      </c>
      <c r="H33" s="612">
        <f t="shared" si="1"/>
        <v>16.28</v>
      </c>
      <c r="I33" s="214"/>
      <c r="K33" s="55"/>
      <c r="L33" s="27"/>
      <c r="M33" s="2"/>
      <c r="N33" s="2"/>
    </row>
    <row r="34" spans="1:14" ht="17" customHeight="1" thickBot="1">
      <c r="A34" s="1967" t="s">
        <v>58</v>
      </c>
      <c r="B34" s="1968"/>
      <c r="C34" s="1968"/>
      <c r="D34" s="642"/>
      <c r="E34" s="609">
        <f>E29-E33</f>
        <v>111.5</v>
      </c>
      <c r="F34" s="217">
        <f t="shared" si="0"/>
        <v>4.6500000000000004</v>
      </c>
      <c r="G34" s="501">
        <f>G29-G33</f>
        <v>130.25</v>
      </c>
      <c r="H34" s="613">
        <f t="shared" si="1"/>
        <v>5.43</v>
      </c>
      <c r="I34" s="214"/>
      <c r="K34" s="55"/>
      <c r="L34" s="27"/>
      <c r="M34" s="2"/>
      <c r="N34" s="2"/>
    </row>
    <row r="35" spans="1:14" ht="17" customHeight="1" thickBot="1">
      <c r="A35" s="82"/>
      <c r="B35" s="82"/>
      <c r="C35" s="82"/>
      <c r="D35" s="102"/>
      <c r="E35" s="102"/>
      <c r="F35" s="102"/>
      <c r="G35" s="610"/>
      <c r="H35" s="214"/>
      <c r="I35" s="214"/>
      <c r="K35" s="55"/>
      <c r="L35" s="27"/>
      <c r="M35" s="2"/>
      <c r="N35" s="2"/>
    </row>
    <row r="36" spans="1:14" ht="26" customHeight="1" thickBot="1">
      <c r="A36" s="1258" t="s">
        <v>59</v>
      </c>
      <c r="B36" s="1259"/>
      <c r="C36" s="1259"/>
      <c r="D36" s="1259"/>
      <c r="E36" s="1259"/>
      <c r="F36" s="1259"/>
      <c r="G36" s="1259"/>
      <c r="H36" s="1260"/>
      <c r="J36" s="27"/>
      <c r="K36" s="27"/>
      <c r="L36" s="2"/>
      <c r="M36" s="2"/>
    </row>
    <row r="37" spans="1:14" ht="24" customHeight="1">
      <c r="A37" s="2041">
        <v>2020</v>
      </c>
      <c r="B37" s="2042"/>
      <c r="C37" s="2042"/>
      <c r="D37" s="2042"/>
      <c r="E37" s="2042"/>
      <c r="F37" s="2042"/>
      <c r="G37" s="2043"/>
      <c r="H37" s="117" t="s">
        <v>67</v>
      </c>
      <c r="I37" s="638"/>
      <c r="J37" s="638"/>
      <c r="K37" s="2"/>
      <c r="L37" s="2"/>
      <c r="M37" s="2"/>
    </row>
    <row r="38" spans="1:14" ht="17.25" customHeight="1">
      <c r="A38" s="1969" t="s">
        <v>134</v>
      </c>
      <c r="B38" s="1970"/>
      <c r="C38" s="1970"/>
      <c r="D38" s="1970"/>
      <c r="E38" s="573"/>
      <c r="F38" s="573"/>
      <c r="G38" s="643"/>
      <c r="H38" s="118">
        <v>1.96</v>
      </c>
      <c r="I38" s="637"/>
      <c r="J38" s="638"/>
      <c r="K38" s="638"/>
      <c r="L38" s="2"/>
      <c r="M38" s="2"/>
      <c r="N38" s="2"/>
    </row>
    <row r="39" spans="1:14" ht="17" customHeight="1" thickBot="1">
      <c r="A39" s="1971" t="s">
        <v>60</v>
      </c>
      <c r="B39" s="1972"/>
      <c r="C39" s="1972"/>
      <c r="D39" s="1972"/>
      <c r="E39" s="574"/>
      <c r="F39" s="574"/>
      <c r="G39" s="644"/>
      <c r="H39" s="119">
        <v>3.52</v>
      </c>
      <c r="I39" s="637"/>
      <c r="J39" s="638"/>
      <c r="K39" s="638"/>
      <c r="L39" s="2"/>
      <c r="M39" s="2"/>
      <c r="N39" s="2"/>
    </row>
    <row r="40" spans="1:14" ht="17" customHeight="1">
      <c r="A40" s="2014" t="s">
        <v>530</v>
      </c>
      <c r="B40" s="2014"/>
      <c r="C40" s="2014"/>
      <c r="D40" s="2014"/>
      <c r="E40" s="575"/>
      <c r="F40" s="575"/>
      <c r="G40" s="47"/>
      <c r="H40" s="636"/>
      <c r="I40" s="636"/>
      <c r="J40" s="636"/>
      <c r="K40" s="636"/>
    </row>
    <row r="41" spans="1:14" ht="18" customHeight="1" thickBot="1">
      <c r="A41" s="781"/>
      <c r="B41" s="781"/>
      <c r="C41" s="781"/>
      <c r="D41" s="781"/>
      <c r="E41" s="781"/>
      <c r="F41" s="781"/>
      <c r="G41" s="781"/>
      <c r="H41" s="781"/>
      <c r="I41" s="636"/>
      <c r="J41" s="636"/>
    </row>
    <row r="42" spans="1:14" ht="18.75" customHeight="1" thickBot="1">
      <c r="A42" s="1258" t="s">
        <v>64</v>
      </c>
      <c r="B42" s="1259"/>
      <c r="C42" s="1259"/>
      <c r="D42" s="1259"/>
      <c r="E42" s="1259"/>
      <c r="F42" s="1259"/>
      <c r="G42" s="1259"/>
      <c r="H42" s="1260"/>
      <c r="I42" s="781"/>
      <c r="J42" s="781"/>
    </row>
    <row r="43" spans="1:14" ht="24" customHeight="1" thickBot="1">
      <c r="A43" s="1956">
        <v>2020</v>
      </c>
      <c r="B43" s="1962"/>
      <c r="C43" s="1962"/>
      <c r="D43" s="1962"/>
      <c r="E43" s="1962"/>
      <c r="F43" s="1962"/>
      <c r="G43" s="1957"/>
      <c r="H43" s="101" t="s">
        <v>67</v>
      </c>
    </row>
    <row r="44" spans="1:14" ht="19" customHeight="1">
      <c r="A44" s="1954" t="s">
        <v>65</v>
      </c>
      <c r="B44" s="1955"/>
      <c r="C44" s="1955"/>
      <c r="D44" s="1955"/>
      <c r="E44" s="1955"/>
      <c r="F44" s="1955"/>
      <c r="G44" s="1963"/>
      <c r="H44" s="120">
        <v>881</v>
      </c>
    </row>
    <row r="45" spans="1:14" ht="17" customHeight="1" thickBot="1">
      <c r="A45" s="1964" t="s">
        <v>66</v>
      </c>
      <c r="B45" s="1965"/>
      <c r="C45" s="1965"/>
      <c r="D45" s="1965"/>
      <c r="E45" s="1965"/>
      <c r="F45" s="1965"/>
      <c r="G45" s="1966"/>
      <c r="H45" s="119">
        <v>587</v>
      </c>
      <c r="I45" s="974"/>
      <c r="J45" s="974"/>
      <c r="K45" s="974"/>
    </row>
    <row r="46" spans="1:14" ht="18" customHeight="1" thickBot="1">
      <c r="A46" s="1961"/>
      <c r="B46" s="1961"/>
      <c r="C46" s="1961"/>
      <c r="D46" s="1961"/>
      <c r="E46" s="1961"/>
      <c r="F46" s="1961"/>
      <c r="G46" s="1961"/>
      <c r="H46" s="1961"/>
      <c r="I46" s="974"/>
      <c r="J46" s="974"/>
    </row>
    <row r="47" spans="1:14" ht="18.75" customHeight="1" thickBot="1">
      <c r="A47" s="1258" t="s">
        <v>513</v>
      </c>
      <c r="B47" s="1259"/>
      <c r="C47" s="1259"/>
      <c r="D47" s="1259"/>
      <c r="E47" s="1259"/>
      <c r="F47" s="1259"/>
      <c r="G47" s="1259"/>
      <c r="H47" s="1260"/>
      <c r="I47" s="974"/>
      <c r="J47" s="974"/>
    </row>
    <row r="48" spans="1:14" ht="24" customHeight="1" thickBot="1">
      <c r="A48" s="1956">
        <v>2020</v>
      </c>
      <c r="B48" s="1962"/>
      <c r="C48" s="1962"/>
      <c r="D48" s="1962"/>
      <c r="E48" s="1962"/>
      <c r="F48" s="1962"/>
      <c r="G48" s="1957"/>
      <c r="H48" s="101" t="s">
        <v>67</v>
      </c>
    </row>
    <row r="49" spans="1:16" ht="19" customHeight="1">
      <c r="A49" s="1954" t="s">
        <v>512</v>
      </c>
      <c r="B49" s="1955"/>
      <c r="C49" s="1955"/>
      <c r="D49" s="1955"/>
      <c r="E49" s="1955"/>
      <c r="F49" s="1955"/>
      <c r="G49" s="1963"/>
      <c r="H49" s="120">
        <v>881</v>
      </c>
    </row>
    <row r="50" spans="1:16" ht="17" hidden="1" customHeight="1" thickBot="1">
      <c r="A50" s="1964" t="s">
        <v>514</v>
      </c>
      <c r="B50" s="1965"/>
      <c r="C50" s="1965"/>
      <c r="D50" s="1965"/>
      <c r="E50" s="1965"/>
      <c r="F50" s="1965"/>
      <c r="G50" s="1966"/>
      <c r="H50" s="119">
        <v>441</v>
      </c>
    </row>
    <row r="51" spans="1:16" ht="17" hidden="1" customHeight="1" thickBot="1">
      <c r="A51" s="975"/>
      <c r="B51" s="975"/>
      <c r="C51" s="975"/>
      <c r="D51" s="975"/>
      <c r="E51" s="975"/>
      <c r="F51" s="975"/>
      <c r="G51" s="975"/>
      <c r="H51" s="975"/>
    </row>
    <row r="52" spans="1:16" s="38" customFormat="1" ht="12" customHeight="1" thickBot="1">
      <c r="A52" s="975"/>
      <c r="B52" s="975"/>
      <c r="C52" s="975"/>
      <c r="D52" s="975"/>
      <c r="E52" s="975"/>
      <c r="F52" s="975"/>
      <c r="G52" s="975"/>
      <c r="H52"/>
    </row>
    <row r="53" spans="1:16" ht="22" customHeight="1">
      <c r="A53" s="1140" t="s">
        <v>515</v>
      </c>
      <c r="B53" s="1141"/>
      <c r="C53" s="1141"/>
      <c r="D53" s="1141"/>
      <c r="E53" s="1141"/>
      <c r="F53" s="1141"/>
      <c r="G53" s="1141"/>
      <c r="H53" s="1142"/>
    </row>
    <row r="54" spans="1:16" ht="17" customHeight="1" thickBot="1">
      <c r="A54" s="1221" t="s">
        <v>318</v>
      </c>
      <c r="B54" s="1222"/>
      <c r="C54" s="1222"/>
      <c r="D54" s="1222"/>
      <c r="E54" s="1222"/>
      <c r="F54" s="1222"/>
      <c r="G54" s="1222"/>
      <c r="H54" s="1223"/>
      <c r="I54" s="781"/>
      <c r="J54" s="781"/>
    </row>
    <row r="55" spans="1:16" ht="17" customHeight="1">
      <c r="A55" s="723"/>
      <c r="B55" s="724"/>
      <c r="C55" s="724"/>
      <c r="D55" s="724"/>
      <c r="E55" s="724"/>
      <c r="F55" s="724"/>
      <c r="G55" s="726" t="s">
        <v>99</v>
      </c>
      <c r="H55" s="725" t="s">
        <v>104</v>
      </c>
      <c r="I55" s="636"/>
      <c r="J55" s="636"/>
      <c r="K55" s="636"/>
    </row>
    <row r="56" spans="1:16" ht="18" customHeight="1" thickBot="1">
      <c r="A56" s="721"/>
      <c r="B56" s="722"/>
      <c r="C56" s="722"/>
      <c r="D56" s="722"/>
      <c r="E56" s="722"/>
      <c r="F56" s="722"/>
      <c r="G56" s="603">
        <v>40999</v>
      </c>
      <c r="H56" s="620" t="str">
        <f>'Løntabel gældende fra'!$D$1</f>
        <v>01/04/2020</v>
      </c>
      <c r="I56" s="645"/>
      <c r="J56" s="645"/>
      <c r="K56" s="645"/>
    </row>
    <row r="57" spans="1:16" ht="14" customHeight="1">
      <c r="A57" s="1900" t="s">
        <v>449</v>
      </c>
      <c r="B57" s="1901"/>
      <c r="C57" s="1901"/>
      <c r="D57" s="1901"/>
      <c r="E57" s="1901"/>
      <c r="F57" s="1904" t="s">
        <v>167</v>
      </c>
      <c r="G57" s="1906">
        <v>39.92</v>
      </c>
      <c r="H57" s="1908">
        <f>G57+G57*'Løntabel gældende fra'!$D$7%</f>
        <v>44.041181120000005</v>
      </c>
      <c r="I57" s="1995"/>
      <c r="J57" s="1996"/>
      <c r="K57" s="1996"/>
      <c r="L57" s="1996"/>
      <c r="M57" s="1996"/>
      <c r="N57" s="1996"/>
      <c r="O57" s="1996"/>
      <c r="P57" s="1996"/>
    </row>
    <row r="58" spans="1:16" ht="17" customHeight="1">
      <c r="A58" s="1902"/>
      <c r="B58" s="1903"/>
      <c r="C58" s="1903"/>
      <c r="D58" s="1903"/>
      <c r="E58" s="1903"/>
      <c r="F58" s="1905"/>
      <c r="G58" s="1907"/>
      <c r="H58" s="1909"/>
      <c r="I58" s="1995"/>
      <c r="J58" s="1996"/>
      <c r="K58" s="1996"/>
      <c r="L58" s="1996"/>
      <c r="M58" s="1996"/>
      <c r="N58" s="1996"/>
      <c r="O58" s="1996"/>
      <c r="P58" s="1996"/>
    </row>
    <row r="59" spans="1:16" ht="17" customHeight="1">
      <c r="A59" s="1910" t="s">
        <v>244</v>
      </c>
      <c r="B59" s="1911"/>
      <c r="C59" s="1911"/>
      <c r="D59" s="1911"/>
      <c r="E59" s="1911"/>
      <c r="F59" s="987" t="s">
        <v>167</v>
      </c>
      <c r="G59" s="193">
        <v>39.92</v>
      </c>
      <c r="H59" s="985">
        <f>G59+G59*'Løntabel gældende fra'!$D$7%</f>
        <v>44.041181120000005</v>
      </c>
      <c r="I59" s="1995"/>
      <c r="J59" s="1996"/>
      <c r="K59" s="1996"/>
      <c r="L59" s="1996"/>
      <c r="M59" s="1996"/>
      <c r="N59" s="1996"/>
      <c r="O59" s="1996"/>
      <c r="P59" s="1996"/>
    </row>
    <row r="60" spans="1:16" ht="17" customHeight="1">
      <c r="A60" s="1910" t="s">
        <v>225</v>
      </c>
      <c r="B60" s="1911"/>
      <c r="C60" s="1911"/>
      <c r="D60" s="1911"/>
      <c r="E60" s="1911"/>
      <c r="F60" s="987" t="s">
        <v>167</v>
      </c>
      <c r="G60" s="193">
        <v>22.32</v>
      </c>
      <c r="H60" s="985">
        <f>G60+G60*'Løntabel gældende fra'!$D$7%</f>
        <v>24.624227520000002</v>
      </c>
      <c r="I60" s="1995"/>
      <c r="J60" s="1996"/>
      <c r="K60" s="1996"/>
      <c r="L60" s="1996"/>
      <c r="M60" s="1996"/>
      <c r="N60" s="1996"/>
      <c r="O60" s="1996"/>
      <c r="P60" s="1996"/>
    </row>
    <row r="61" spans="1:16" ht="17" customHeight="1">
      <c r="A61" s="1896" t="s">
        <v>166</v>
      </c>
      <c r="B61" s="1897"/>
      <c r="C61" s="1897"/>
      <c r="D61" s="1897"/>
      <c r="E61" s="1897"/>
      <c r="F61" s="988" t="s">
        <v>167</v>
      </c>
      <c r="G61" s="193">
        <v>39.92</v>
      </c>
      <c r="H61" s="985">
        <f>G61+G61*'Løntabel gældende fra'!$D$7%</f>
        <v>44.041181120000005</v>
      </c>
      <c r="I61" s="1995"/>
      <c r="J61" s="1996"/>
      <c r="K61" s="1996"/>
      <c r="L61" s="1996"/>
      <c r="M61" s="1996"/>
      <c r="N61" s="1996"/>
      <c r="O61" s="1996"/>
      <c r="P61" s="1996"/>
    </row>
    <row r="62" spans="1:16" ht="17" customHeight="1">
      <c r="A62" s="1896" t="s">
        <v>439</v>
      </c>
      <c r="B62" s="1897"/>
      <c r="C62" s="1897"/>
      <c r="D62" s="1897"/>
      <c r="E62" s="1897"/>
      <c r="F62" s="988" t="s">
        <v>168</v>
      </c>
      <c r="G62" s="193">
        <v>39.92</v>
      </c>
      <c r="H62" s="985">
        <f>G62+G62*'Løntabel gældende fra'!$D$7%</f>
        <v>44.041181120000005</v>
      </c>
      <c r="I62" s="1995"/>
      <c r="J62" s="1996"/>
      <c r="K62" s="1996"/>
      <c r="L62" s="1996"/>
      <c r="M62" s="1996"/>
      <c r="N62" s="1996"/>
      <c r="O62" s="1996"/>
      <c r="P62" s="1996"/>
    </row>
    <row r="63" spans="1:16" ht="17" customHeight="1">
      <c r="A63" s="1896" t="s">
        <v>440</v>
      </c>
      <c r="B63" s="1897"/>
      <c r="C63" s="1897"/>
      <c r="D63" s="1897"/>
      <c r="E63" s="1897"/>
      <c r="F63" s="988" t="s">
        <v>168</v>
      </c>
      <c r="G63" s="193">
        <v>91.84</v>
      </c>
      <c r="H63" s="985">
        <f>G63+G63*'Løntabel gældende fra'!$D$7%</f>
        <v>101.32119424000001</v>
      </c>
      <c r="I63" s="1995"/>
      <c r="J63" s="1996"/>
      <c r="K63" s="1996"/>
      <c r="L63" s="1996"/>
      <c r="M63" s="1996"/>
      <c r="N63" s="1996"/>
      <c r="O63" s="1996"/>
      <c r="P63" s="1996"/>
    </row>
    <row r="64" spans="1:16" ht="17" customHeight="1" thickBot="1">
      <c r="A64" s="1898" t="s">
        <v>441</v>
      </c>
      <c r="B64" s="1899"/>
      <c r="C64" s="1899"/>
      <c r="D64" s="1899"/>
      <c r="E64" s="1899"/>
      <c r="F64" s="989" t="s">
        <v>167</v>
      </c>
      <c r="G64" s="172">
        <v>27.81</v>
      </c>
      <c r="H64" s="986">
        <f>G64+G64*'Løntabel gældende fra'!$D$7%</f>
        <v>30.68099316</v>
      </c>
      <c r="I64" s="1995"/>
      <c r="J64" s="1996"/>
      <c r="K64" s="1996"/>
      <c r="L64" s="1996"/>
      <c r="M64" s="1996"/>
      <c r="N64" s="1996"/>
      <c r="O64" s="1996"/>
      <c r="P64" s="1996"/>
    </row>
    <row r="65" spans="1:16" ht="17" customHeight="1" thickBot="1">
      <c r="A65" s="974"/>
      <c r="B65" s="974"/>
      <c r="C65" s="974"/>
      <c r="D65" s="974"/>
      <c r="E65" s="974"/>
      <c r="F65" s="974"/>
      <c r="G65" s="974"/>
      <c r="H65" s="974"/>
      <c r="I65" s="1995"/>
      <c r="J65" s="1996"/>
      <c r="K65" s="1996"/>
      <c r="L65" s="1996"/>
      <c r="M65" s="1996"/>
      <c r="N65" s="1996"/>
      <c r="O65" s="1996"/>
      <c r="P65" s="1996"/>
    </row>
    <row r="66" spans="1:16" ht="17" customHeight="1">
      <c r="A66" s="1218" t="s">
        <v>191</v>
      </c>
      <c r="B66" s="1219"/>
      <c r="C66" s="1219"/>
      <c r="D66" s="1219"/>
      <c r="E66" s="1219"/>
      <c r="F66" s="1219"/>
      <c r="G66" s="1219"/>
      <c r="H66" s="1220"/>
      <c r="I66" s="1995"/>
      <c r="J66" s="1996"/>
      <c r="K66" s="1996"/>
      <c r="L66" s="1996"/>
      <c r="M66" s="1996"/>
      <c r="N66" s="1996"/>
      <c r="O66" s="1996"/>
      <c r="P66" s="1996"/>
    </row>
    <row r="67" spans="1:16" ht="17" customHeight="1" thickBot="1">
      <c r="A67" s="2015" t="s">
        <v>338</v>
      </c>
      <c r="B67" s="2016"/>
      <c r="C67" s="2016"/>
      <c r="D67" s="2016"/>
      <c r="E67" s="2016"/>
      <c r="F67" s="2016"/>
      <c r="G67" s="2016"/>
      <c r="H67" s="2017"/>
      <c r="I67" s="1995"/>
      <c r="J67" s="1996"/>
      <c r="K67" s="1996"/>
      <c r="L67" s="1996"/>
      <c r="M67" s="1996"/>
      <c r="N67" s="1996"/>
      <c r="O67" s="1996"/>
      <c r="P67" s="1996"/>
    </row>
    <row r="68" spans="1:16" ht="17" customHeight="1">
      <c r="A68" s="1939" t="s">
        <v>27</v>
      </c>
      <c r="B68" s="1940"/>
      <c r="C68" s="1940"/>
      <c r="D68" s="1941"/>
      <c r="E68" s="1939" t="s">
        <v>28</v>
      </c>
      <c r="F68" s="1940"/>
      <c r="G68" s="1940"/>
      <c r="H68" s="1941"/>
      <c r="I68" s="1995"/>
      <c r="J68" s="1996"/>
      <c r="K68" s="1996"/>
      <c r="L68" s="1996"/>
      <c r="M68" s="1996"/>
      <c r="N68" s="1996"/>
      <c r="O68" s="1996"/>
      <c r="P68" s="1996"/>
    </row>
    <row r="69" spans="1:16" ht="17" customHeight="1">
      <c r="A69" s="1927">
        <v>40999</v>
      </c>
      <c r="B69" s="1928"/>
      <c r="C69" s="1928"/>
      <c r="D69" s="1929"/>
      <c r="E69" s="1930">
        <v>0</v>
      </c>
      <c r="F69" s="1931"/>
      <c r="G69" s="1931"/>
      <c r="H69" s="1932"/>
      <c r="I69" s="1995"/>
      <c r="J69" s="1996"/>
      <c r="K69" s="1996"/>
      <c r="L69" s="1996"/>
      <c r="M69" s="1996"/>
      <c r="N69" s="1996"/>
      <c r="O69" s="1996"/>
      <c r="P69" s="1996"/>
    </row>
    <row r="70" spans="1:16" ht="17" customHeight="1">
      <c r="A70" s="1927">
        <v>41000</v>
      </c>
      <c r="B70" s="1928"/>
      <c r="C70" s="1928"/>
      <c r="D70" s="1929"/>
      <c r="E70" s="1930">
        <v>1.304</v>
      </c>
      <c r="F70" s="1931"/>
      <c r="G70" s="1931"/>
      <c r="H70" s="1932"/>
      <c r="I70" s="780"/>
      <c r="J70" s="780"/>
    </row>
    <row r="71" spans="1:16" ht="17" customHeight="1">
      <c r="A71" s="1927">
        <v>41365</v>
      </c>
      <c r="B71" s="1928"/>
      <c r="C71" s="1928"/>
      <c r="D71" s="1929"/>
      <c r="E71" s="1930">
        <v>1.304</v>
      </c>
      <c r="F71" s="1931"/>
      <c r="G71" s="1931"/>
      <c r="H71" s="1932"/>
      <c r="I71" s="786"/>
      <c r="J71" s="786"/>
    </row>
    <row r="72" spans="1:16" ht="17" customHeight="1">
      <c r="A72" s="1927">
        <v>41730</v>
      </c>
      <c r="B72" s="1928"/>
      <c r="C72" s="1928"/>
      <c r="D72" s="1929"/>
      <c r="E72" s="1930">
        <v>1.7161999999999999</v>
      </c>
      <c r="F72" s="1931"/>
      <c r="G72" s="1931"/>
      <c r="H72" s="1932"/>
      <c r="I72" s="787"/>
      <c r="J72" s="787"/>
    </row>
    <row r="73" spans="1:16" ht="17" customHeight="1">
      <c r="A73" s="1933">
        <v>42095</v>
      </c>
      <c r="B73" s="1934"/>
      <c r="C73" s="1934"/>
      <c r="D73" s="1935"/>
      <c r="E73" s="1930">
        <v>2.1745000000000001</v>
      </c>
      <c r="F73" s="1931"/>
      <c r="G73" s="1931"/>
      <c r="H73" s="1932"/>
      <c r="I73" s="788"/>
      <c r="J73" s="788"/>
    </row>
    <row r="74" spans="1:16" ht="17" customHeight="1">
      <c r="A74" s="1927">
        <v>42461</v>
      </c>
      <c r="B74" s="1928"/>
      <c r="C74" s="1928"/>
      <c r="D74" s="1929"/>
      <c r="E74" s="1930">
        <v>2.9882</v>
      </c>
      <c r="F74" s="1931"/>
      <c r="G74" s="1931"/>
      <c r="H74" s="1932"/>
      <c r="I74" s="788"/>
      <c r="J74" s="788"/>
    </row>
    <row r="75" spans="1:16" ht="17" customHeight="1">
      <c r="A75" s="1945">
        <v>42826</v>
      </c>
      <c r="B75" s="1946"/>
      <c r="C75" s="1946"/>
      <c r="D75" s="1947"/>
      <c r="E75" s="1930">
        <v>4.2446000000000002</v>
      </c>
      <c r="F75" s="1931"/>
      <c r="G75" s="1931"/>
      <c r="H75" s="1932"/>
      <c r="I75" s="788"/>
      <c r="J75" s="788"/>
    </row>
    <row r="76" spans="1:16" ht="17" customHeight="1">
      <c r="A76" s="1927">
        <v>43070</v>
      </c>
      <c r="B76" s="1928"/>
      <c r="C76" s="1928"/>
      <c r="D76" s="1929"/>
      <c r="E76" s="1930">
        <v>5.7702999999999998</v>
      </c>
      <c r="F76" s="1931"/>
      <c r="G76" s="1931"/>
      <c r="H76" s="1932"/>
      <c r="I76" s="788"/>
      <c r="J76" s="788"/>
    </row>
    <row r="77" spans="1:16" ht="17" customHeight="1">
      <c r="A77" s="1927">
        <v>43191</v>
      </c>
      <c r="B77" s="1928"/>
      <c r="C77" s="1928"/>
      <c r="D77" s="1929"/>
      <c r="E77" s="1930">
        <v>6.9683000000000002</v>
      </c>
      <c r="F77" s="1931"/>
      <c r="G77" s="1931"/>
      <c r="H77" s="1932"/>
      <c r="I77" s="788"/>
      <c r="J77" s="788"/>
    </row>
    <row r="78" spans="1:16" ht="17" customHeight="1">
      <c r="A78" s="1927">
        <v>43374</v>
      </c>
      <c r="B78" s="1928"/>
      <c r="C78" s="1928"/>
      <c r="D78" s="1929"/>
      <c r="E78" s="1930">
        <v>7.4972000000000003</v>
      </c>
      <c r="F78" s="1931"/>
      <c r="G78" s="1931"/>
      <c r="H78" s="1932"/>
      <c r="I78" s="789"/>
      <c r="J78" s="789"/>
    </row>
    <row r="79" spans="1:16" ht="17" customHeight="1">
      <c r="A79" s="1927">
        <v>43556</v>
      </c>
      <c r="B79" s="1928"/>
      <c r="C79" s="1928"/>
      <c r="D79" s="1929"/>
      <c r="E79" s="1930">
        <v>8.4910999999999994</v>
      </c>
      <c r="F79" s="1931"/>
      <c r="G79" s="1931"/>
      <c r="H79" s="1932"/>
      <c r="I79" s="787"/>
      <c r="J79" s="787"/>
    </row>
    <row r="80" spans="1:16" ht="17" customHeight="1" thickBot="1">
      <c r="A80" s="1936">
        <v>43739</v>
      </c>
      <c r="B80" s="1937"/>
      <c r="C80" s="1937"/>
      <c r="D80" s="1938"/>
      <c r="E80" s="1942">
        <v>9.4007000000000005</v>
      </c>
      <c r="F80" s="1943"/>
      <c r="G80" s="1943"/>
      <c r="H80" s="1944"/>
      <c r="I80" s="787"/>
      <c r="J80" s="787"/>
    </row>
    <row r="81" spans="1:10" ht="17" customHeight="1" thickBot="1">
      <c r="A81" s="1936">
        <v>43922</v>
      </c>
      <c r="B81" s="1937"/>
      <c r="C81" s="1937"/>
      <c r="D81" s="1938"/>
      <c r="E81" s="1942">
        <v>10.323600000000001</v>
      </c>
      <c r="F81" s="1943"/>
      <c r="G81" s="1943"/>
      <c r="H81" s="1944"/>
      <c r="I81" s="788"/>
      <c r="J81" s="788"/>
    </row>
    <row r="82" spans="1:10" ht="25.5" customHeight="1" thickBot="1">
      <c r="A82" s="779"/>
      <c r="B82" s="779"/>
      <c r="C82" s="779"/>
      <c r="D82" s="779"/>
      <c r="E82" s="779"/>
      <c r="F82" s="779"/>
      <c r="G82" s="779"/>
      <c r="H82" s="779"/>
      <c r="I82" s="788"/>
      <c r="J82" s="788"/>
    </row>
    <row r="83" spans="1:10" ht="19" thickBot="1">
      <c r="A83" s="1924" t="s">
        <v>75</v>
      </c>
      <c r="B83" s="1925"/>
      <c r="C83" s="1925"/>
      <c r="D83" s="1925"/>
      <c r="E83" s="1925"/>
      <c r="F83" s="1925"/>
      <c r="G83" s="1925"/>
      <c r="H83" s="1926"/>
      <c r="I83" s="790"/>
      <c r="J83" s="790"/>
    </row>
    <row r="84" spans="1:10" ht="16" thickBot="1">
      <c r="A84" s="1912" t="s">
        <v>76</v>
      </c>
      <c r="B84" s="1913"/>
      <c r="C84" s="1913"/>
      <c r="D84" s="1913"/>
      <c r="E84" s="1913"/>
      <c r="F84" s="1913"/>
      <c r="G84" s="1913"/>
      <c r="H84" s="1914"/>
      <c r="I84" s="787"/>
      <c r="J84" s="787"/>
    </row>
    <row r="85" spans="1:10">
      <c r="A85" s="1915" t="s">
        <v>245</v>
      </c>
      <c r="B85" s="1916"/>
      <c r="C85" s="1916"/>
      <c r="D85" s="1916"/>
      <c r="E85" s="1916"/>
      <c r="F85" s="1916"/>
      <c r="G85" s="1916"/>
      <c r="H85" s="1917"/>
      <c r="I85" s="791"/>
      <c r="J85" s="791"/>
    </row>
    <row r="86" spans="1:10">
      <c r="A86" s="1918"/>
      <c r="B86" s="1919"/>
      <c r="C86" s="1919"/>
      <c r="D86" s="1919"/>
      <c r="E86" s="1919"/>
      <c r="F86" s="1919"/>
      <c r="G86" s="1919"/>
      <c r="H86" s="1920"/>
      <c r="I86" s="790"/>
      <c r="J86" s="790"/>
    </row>
    <row r="87" spans="1:10">
      <c r="A87" s="1918"/>
      <c r="B87" s="1919"/>
      <c r="C87" s="1919"/>
      <c r="D87" s="1919"/>
      <c r="E87" s="1919"/>
      <c r="F87" s="1919"/>
      <c r="G87" s="1919"/>
      <c r="H87" s="1920"/>
      <c r="I87" s="787"/>
      <c r="J87" s="787"/>
    </row>
    <row r="88" spans="1:10" ht="31.5" customHeight="1">
      <c r="A88" s="1918"/>
      <c r="B88" s="1919"/>
      <c r="C88" s="1919"/>
      <c r="D88" s="1919"/>
      <c r="E88" s="1919"/>
      <c r="F88" s="1919"/>
      <c r="G88" s="1919"/>
      <c r="H88" s="1920"/>
      <c r="I88" s="792"/>
      <c r="J88" s="791"/>
    </row>
    <row r="89" spans="1:10" ht="16" thickBot="1">
      <c r="A89" s="1921"/>
      <c r="B89" s="1922"/>
      <c r="C89" s="1922"/>
      <c r="D89" s="1922"/>
      <c r="E89" s="1922"/>
      <c r="F89" s="1922"/>
      <c r="G89" s="1922"/>
      <c r="H89" s="1923"/>
      <c r="I89" s="793"/>
      <c r="J89" s="793"/>
    </row>
    <row r="90" spans="1:10" ht="16" thickBot="1">
      <c r="A90" s="782"/>
      <c r="B90" s="782"/>
      <c r="C90" s="782"/>
      <c r="D90" s="782"/>
      <c r="E90" s="782"/>
      <c r="F90" s="782"/>
      <c r="G90" s="782"/>
      <c r="H90" s="782"/>
      <c r="I90" s="787"/>
      <c r="J90" s="787"/>
    </row>
    <row r="91" spans="1:10" ht="7" customHeight="1" thickBot="1">
      <c r="A91" s="1912" t="s">
        <v>77</v>
      </c>
      <c r="B91" s="1913"/>
      <c r="C91" s="1913"/>
      <c r="D91" s="1913"/>
      <c r="E91" s="1913"/>
      <c r="F91" s="1913"/>
      <c r="G91" s="1913"/>
      <c r="H91" s="1914"/>
      <c r="I91" s="788"/>
      <c r="J91" s="788"/>
    </row>
    <row r="92" spans="1:10">
      <c r="A92" s="1915" t="s">
        <v>139</v>
      </c>
      <c r="B92" s="1916"/>
      <c r="C92" s="1916"/>
      <c r="D92" s="1916"/>
      <c r="E92" s="1916"/>
      <c r="F92" s="1916"/>
      <c r="G92" s="1916"/>
      <c r="H92" s="1917"/>
      <c r="I92" s="788"/>
      <c r="J92" s="788"/>
    </row>
    <row r="93" spans="1:10" ht="22" customHeight="1" thickBot="1">
      <c r="A93" s="1921"/>
      <c r="B93" s="1922"/>
      <c r="C93" s="1922"/>
      <c r="D93" s="1922"/>
      <c r="E93" s="1922"/>
      <c r="F93" s="1922"/>
      <c r="G93" s="1922"/>
      <c r="H93" s="1923"/>
      <c r="I93" s="788"/>
      <c r="J93" s="788"/>
    </row>
    <row r="94" spans="1:10" ht="16" thickBot="1">
      <c r="A94" s="783"/>
      <c r="B94" s="783"/>
      <c r="C94" s="783"/>
      <c r="D94" s="783"/>
      <c r="E94" s="783"/>
      <c r="F94" s="783"/>
      <c r="G94" s="783"/>
      <c r="H94" s="783"/>
    </row>
    <row r="95" spans="1:10" ht="16" thickBot="1">
      <c r="A95" s="1912" t="s">
        <v>78</v>
      </c>
      <c r="B95" s="1913"/>
      <c r="C95" s="1913"/>
      <c r="D95" s="1913"/>
      <c r="E95" s="1913"/>
      <c r="F95" s="1913"/>
      <c r="G95" s="1913"/>
      <c r="H95" s="1914"/>
    </row>
    <row r="96" spans="1:10" ht="16" thickBot="1">
      <c r="A96" s="286" t="s">
        <v>81</v>
      </c>
      <c r="B96" s="285"/>
      <c r="C96" s="285"/>
      <c r="D96" s="285"/>
      <c r="E96" s="285"/>
      <c r="F96" s="285"/>
      <c r="G96" s="285"/>
      <c r="H96" s="287"/>
    </row>
    <row r="97" spans="1:8" ht="16" thickBot="1">
      <c r="A97" s="783"/>
      <c r="B97" s="783"/>
      <c r="C97" s="783"/>
      <c r="D97" s="783"/>
      <c r="E97" s="783"/>
      <c r="F97" s="783"/>
      <c r="G97" s="783"/>
      <c r="H97" s="783"/>
    </row>
    <row r="98" spans="1:8" ht="16" thickBot="1">
      <c r="A98" s="1912" t="s">
        <v>79</v>
      </c>
      <c r="B98" s="1913"/>
      <c r="C98" s="1913"/>
      <c r="D98" s="1913"/>
      <c r="E98" s="1913"/>
      <c r="F98" s="1913"/>
      <c r="G98" s="1913"/>
      <c r="H98" s="1914"/>
    </row>
    <row r="99" spans="1:8" ht="16" thickBot="1">
      <c r="A99" s="1948" t="s">
        <v>82</v>
      </c>
      <c r="B99" s="1949"/>
      <c r="C99" s="1949"/>
      <c r="D99" s="1949"/>
      <c r="E99" s="1949"/>
      <c r="F99" s="1949"/>
      <c r="G99" s="1949"/>
      <c r="H99" s="1950"/>
    </row>
    <row r="100" spans="1:8" ht="16" thickBot="1"/>
    <row r="101" spans="1:8" ht="16" thickBot="1">
      <c r="A101" s="1912" t="s">
        <v>80</v>
      </c>
      <c r="B101" s="1913"/>
      <c r="C101" s="1913"/>
      <c r="D101" s="1913"/>
      <c r="E101" s="1913"/>
      <c r="F101" s="1913"/>
      <c r="G101" s="1913"/>
      <c r="H101" s="1914"/>
    </row>
    <row r="102" spans="1:8">
      <c r="A102" s="1915" t="s">
        <v>359</v>
      </c>
      <c r="B102" s="1916"/>
      <c r="C102" s="1916"/>
      <c r="D102" s="1916"/>
      <c r="E102" s="1916"/>
      <c r="F102" s="1916"/>
      <c r="G102" s="1916"/>
      <c r="H102" s="1917"/>
    </row>
    <row r="103" spans="1:8">
      <c r="A103" s="1918"/>
      <c r="B103" s="1919"/>
      <c r="C103" s="1919"/>
      <c r="D103" s="1919"/>
      <c r="E103" s="1919"/>
      <c r="F103" s="1919"/>
      <c r="G103" s="1919"/>
      <c r="H103" s="1920"/>
    </row>
    <row r="104" spans="1:8" ht="16" thickBot="1">
      <c r="A104" s="1921"/>
      <c r="B104" s="1922"/>
      <c r="C104" s="1922"/>
      <c r="D104" s="1922"/>
      <c r="E104" s="1922"/>
      <c r="F104" s="1922"/>
      <c r="G104" s="1922"/>
      <c r="H104" s="1923"/>
    </row>
  </sheetData>
  <sheetProtection sheet="1" objects="1" scenarios="1"/>
  <mergeCells count="123">
    <mergeCell ref="A47:H47"/>
    <mergeCell ref="A48:G48"/>
    <mergeCell ref="A49:G49"/>
    <mergeCell ref="A50:G50"/>
    <mergeCell ref="A36:H36"/>
    <mergeCell ref="A37:G37"/>
    <mergeCell ref="A5:A6"/>
    <mergeCell ref="B5:C6"/>
    <mergeCell ref="H5:H6"/>
    <mergeCell ref="F5:G6"/>
    <mergeCell ref="F8:G8"/>
    <mergeCell ref="A26:H26"/>
    <mergeCell ref="A3:H3"/>
    <mergeCell ref="A1:H1"/>
    <mergeCell ref="F7:G7"/>
    <mergeCell ref="B8:C8"/>
    <mergeCell ref="B9:C9"/>
    <mergeCell ref="A19:H19"/>
    <mergeCell ref="B20:D20"/>
    <mergeCell ref="A12:H12"/>
    <mergeCell ref="A13:G13"/>
    <mergeCell ref="I57:P69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66:H66"/>
    <mergeCell ref="A67:H67"/>
    <mergeCell ref="K21:K22"/>
    <mergeCell ref="E20:H20"/>
    <mergeCell ref="E21:H21"/>
    <mergeCell ref="A14:G14"/>
    <mergeCell ref="A15:G15"/>
    <mergeCell ref="A16:G17"/>
    <mergeCell ref="H16:H17"/>
    <mergeCell ref="I24:J24"/>
    <mergeCell ref="A20:A21"/>
    <mergeCell ref="I21:J22"/>
    <mergeCell ref="E22:H22"/>
    <mergeCell ref="I23:J23"/>
    <mergeCell ref="B21:D21"/>
    <mergeCell ref="E23:H23"/>
    <mergeCell ref="B22:D22"/>
    <mergeCell ref="B23:D23"/>
    <mergeCell ref="E24:H24"/>
    <mergeCell ref="B24:D24"/>
    <mergeCell ref="A98:H98"/>
    <mergeCell ref="A101:H101"/>
    <mergeCell ref="A99:H99"/>
    <mergeCell ref="A102:H104"/>
    <mergeCell ref="I25:J25"/>
    <mergeCell ref="A30:C30"/>
    <mergeCell ref="A29:C29"/>
    <mergeCell ref="E27:F27"/>
    <mergeCell ref="G27:H27"/>
    <mergeCell ref="A27:D28"/>
    <mergeCell ref="A33:C33"/>
    <mergeCell ref="A32:C32"/>
    <mergeCell ref="A31:C31"/>
    <mergeCell ref="A68:D68"/>
    <mergeCell ref="A69:D69"/>
    <mergeCell ref="A70:D70"/>
    <mergeCell ref="A46:H46"/>
    <mergeCell ref="A42:H42"/>
    <mergeCell ref="A43:G43"/>
    <mergeCell ref="A44:G44"/>
    <mergeCell ref="A45:G45"/>
    <mergeCell ref="A34:C34"/>
    <mergeCell ref="A38:D38"/>
    <mergeCell ref="A39:D39"/>
    <mergeCell ref="E68:H68"/>
    <mergeCell ref="E81:H81"/>
    <mergeCell ref="A74:D74"/>
    <mergeCell ref="E74:H74"/>
    <mergeCell ref="A75:D75"/>
    <mergeCell ref="E75:H75"/>
    <mergeCell ref="E69:H69"/>
    <mergeCell ref="E70:H70"/>
    <mergeCell ref="E71:H71"/>
    <mergeCell ref="E72:H72"/>
    <mergeCell ref="E73:H73"/>
    <mergeCell ref="A76:D76"/>
    <mergeCell ref="E76:H76"/>
    <mergeCell ref="A80:D80"/>
    <mergeCell ref="E80:H80"/>
    <mergeCell ref="A95:H95"/>
    <mergeCell ref="A85:H89"/>
    <mergeCell ref="A83:H83"/>
    <mergeCell ref="A84:H84"/>
    <mergeCell ref="A91:H91"/>
    <mergeCell ref="A92:H93"/>
    <mergeCell ref="A77:D77"/>
    <mergeCell ref="E77:H77"/>
    <mergeCell ref="A71:D71"/>
    <mergeCell ref="A72:D72"/>
    <mergeCell ref="A73:D73"/>
    <mergeCell ref="A81:D81"/>
    <mergeCell ref="A78:D78"/>
    <mergeCell ref="E78:H78"/>
    <mergeCell ref="A79:D79"/>
    <mergeCell ref="E79:H79"/>
    <mergeCell ref="A62:E62"/>
    <mergeCell ref="A63:E63"/>
    <mergeCell ref="A64:E64"/>
    <mergeCell ref="A53:H53"/>
    <mergeCell ref="A54:H54"/>
    <mergeCell ref="A57:E58"/>
    <mergeCell ref="F57:F58"/>
    <mergeCell ref="G57:G58"/>
    <mergeCell ref="H57:H58"/>
    <mergeCell ref="A59:E59"/>
    <mergeCell ref="A60:E60"/>
    <mergeCell ref="A61:E6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7" man="1"/>
    <brk id="64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topLeftCell="H74" workbookViewId="0">
      <selection activeCell="Q101" sqref="Q101"/>
    </sheetView>
  </sheetViews>
  <sheetFormatPr baseColWidth="10" defaultColWidth="8.83203125" defaultRowHeight="15"/>
  <cols>
    <col min="1" max="1" width="8.83203125" style="13"/>
    <col min="2" max="2" width="8.83203125" style="12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>
      <c r="A1" s="2053" t="str">
        <f>"Månedslønninger pr. "&amp;'Løntabel gældende fra'!D1&amp;" statens takster"</f>
        <v>Månedslønninger pr. 01/04/2020 statens takster</v>
      </c>
      <c r="B1" s="2054"/>
      <c r="C1" s="2054"/>
      <c r="D1" s="2054"/>
      <c r="E1" s="2054"/>
      <c r="F1" s="2054"/>
      <c r="G1" s="2054"/>
      <c r="H1" s="2054"/>
      <c r="I1" s="2054"/>
      <c r="J1" s="2054"/>
      <c r="K1" s="2054"/>
      <c r="L1" s="2054"/>
      <c r="M1" s="2054"/>
      <c r="N1" s="2054"/>
      <c r="O1" s="2055"/>
    </row>
    <row r="2" spans="1:15" ht="18" customHeight="1">
      <c r="A2" s="2056" t="s">
        <v>356</v>
      </c>
      <c r="B2" s="2057"/>
      <c r="C2" s="2057"/>
      <c r="D2" s="2057"/>
      <c r="E2" s="2057"/>
      <c r="F2" s="2057"/>
      <c r="G2" s="2057"/>
      <c r="H2" s="2057"/>
      <c r="I2" s="2057"/>
      <c r="J2" s="2057"/>
      <c r="K2" s="2057"/>
      <c r="L2" s="2057"/>
      <c r="M2" s="2057"/>
      <c r="N2" s="2057"/>
      <c r="O2" s="2058"/>
    </row>
    <row r="3" spans="1:15" ht="18" customHeight="1">
      <c r="A3" s="2059" t="s">
        <v>357</v>
      </c>
      <c r="B3" s="2060"/>
      <c r="C3" s="2060"/>
      <c r="D3" s="2060"/>
      <c r="E3" s="2060"/>
      <c r="F3" s="2060"/>
      <c r="G3" s="2060"/>
      <c r="H3" s="2060"/>
      <c r="I3" s="2060"/>
      <c r="J3" s="2060"/>
      <c r="K3" s="2060"/>
      <c r="L3" s="2060"/>
      <c r="M3" s="2060"/>
      <c r="N3" s="2060"/>
      <c r="O3" s="2061"/>
    </row>
    <row r="4" spans="1:15" ht="33.75" customHeight="1" thickBot="1">
      <c r="A4" s="2062"/>
      <c r="B4" s="2063"/>
      <c r="C4" s="2063"/>
      <c r="D4" s="2063"/>
      <c r="E4" s="2063"/>
      <c r="F4" s="2063"/>
      <c r="G4" s="2063"/>
      <c r="H4" s="2063"/>
      <c r="I4" s="2063"/>
      <c r="J4" s="2063"/>
      <c r="K4" s="2063"/>
      <c r="L4" s="2063"/>
      <c r="M4" s="2063"/>
      <c r="N4" s="2063"/>
      <c r="O4" s="2064"/>
    </row>
    <row r="5" spans="1:15" s="33" customFormat="1" ht="26" customHeight="1" thickBot="1">
      <c r="A5" s="371" t="s">
        <v>57</v>
      </c>
      <c r="B5" s="398"/>
      <c r="C5" s="400" t="s">
        <v>109</v>
      </c>
      <c r="D5" s="371" t="s">
        <v>52</v>
      </c>
      <c r="E5" s="398" t="s">
        <v>110</v>
      </c>
      <c r="F5" s="399" t="s">
        <v>53</v>
      </c>
      <c r="G5" s="400" t="s">
        <v>111</v>
      </c>
      <c r="H5" s="371" t="s">
        <v>54</v>
      </c>
      <c r="I5" s="398" t="s">
        <v>112</v>
      </c>
      <c r="J5" s="399" t="s">
        <v>55</v>
      </c>
      <c r="K5" s="400" t="s">
        <v>113</v>
      </c>
      <c r="L5" s="371" t="s">
        <v>56</v>
      </c>
      <c r="M5" s="401"/>
      <c r="N5" s="402" t="s">
        <v>114</v>
      </c>
      <c r="O5" s="403" t="s">
        <v>115</v>
      </c>
    </row>
    <row r="6" spans="1:15" ht="20" customHeight="1">
      <c r="A6" s="2048">
        <v>1</v>
      </c>
      <c r="B6" s="385" t="s">
        <v>97</v>
      </c>
      <c r="C6" s="203">
        <v>184817</v>
      </c>
      <c r="D6" s="196">
        <f>ROUND((C6*(1+'Løntabel gældende fra'!$D$7%)),0)</f>
        <v>203897</v>
      </c>
      <c r="E6" s="204">
        <v>188265</v>
      </c>
      <c r="F6" s="205">
        <f>ROUND((E6*(1+'Løntabel gældende fra'!$D$7%)),0)</f>
        <v>207701</v>
      </c>
      <c r="G6" s="203">
        <v>190650</v>
      </c>
      <c r="H6" s="196">
        <f>ROUND((G6*(1+'Løntabel gældende fra'!$D$7%)),0)</f>
        <v>210332</v>
      </c>
      <c r="I6" s="204">
        <v>194098</v>
      </c>
      <c r="J6" s="205">
        <f>ROUND((I6*(1+'Løntabel gældende fra'!$D$7%)),0)</f>
        <v>214136</v>
      </c>
      <c r="K6" s="203">
        <v>196484</v>
      </c>
      <c r="L6" s="196">
        <f>ROUND((K6*(1+'Løntabel gældende fra'!$D$7%)),0)</f>
        <v>216768</v>
      </c>
      <c r="M6" s="426"/>
      <c r="N6" s="406">
        <v>171917.38</v>
      </c>
      <c r="O6" s="210">
        <f>ROUND(N6*(1+'Løntabel gældende fra'!$D$7%),2)</f>
        <v>189665.44</v>
      </c>
    </row>
    <row r="7" spans="1:15">
      <c r="A7" s="2049"/>
      <c r="B7" s="410" t="s">
        <v>98</v>
      </c>
      <c r="C7" s="415">
        <f>C6/12</f>
        <v>15401.416666666666</v>
      </c>
      <c r="D7" s="422">
        <f t="shared" ref="D7:L7" si="0">ROUND(D6/12,2)</f>
        <v>16991.419999999998</v>
      </c>
      <c r="E7" s="419">
        <f>E6/12</f>
        <v>15688.75</v>
      </c>
      <c r="F7" s="404">
        <f t="shared" si="0"/>
        <v>17308.419999999998</v>
      </c>
      <c r="G7" s="415">
        <f>G6/12</f>
        <v>15887.5</v>
      </c>
      <c r="H7" s="422">
        <f t="shared" si="0"/>
        <v>17527.669999999998</v>
      </c>
      <c r="I7" s="419">
        <f>I6/12</f>
        <v>16174.833333333334</v>
      </c>
      <c r="J7" s="404">
        <f t="shared" si="0"/>
        <v>17844.669999999998</v>
      </c>
      <c r="K7" s="415">
        <f>K6/12</f>
        <v>16373.666666666666</v>
      </c>
      <c r="L7" s="422">
        <f t="shared" si="0"/>
        <v>18064</v>
      </c>
      <c r="M7" s="427"/>
      <c r="N7" s="405"/>
      <c r="O7" s="407">
        <f>ROUND(O6/12,2)</f>
        <v>15805.45</v>
      </c>
    </row>
    <row r="8" spans="1:15" ht="16" thickBot="1">
      <c r="A8" s="2050"/>
      <c r="B8" s="387" t="s">
        <v>229</v>
      </c>
      <c r="C8" s="200"/>
      <c r="D8" s="201">
        <f>ROUND(D7/160.33,2)</f>
        <v>105.98</v>
      </c>
      <c r="E8" s="202"/>
      <c r="F8" s="201">
        <f t="shared" ref="F8:O8" si="1">ROUND(F7/160.33,2)</f>
        <v>107.95</v>
      </c>
      <c r="G8" s="201">
        <f t="shared" si="1"/>
        <v>99.09</v>
      </c>
      <c r="H8" s="201">
        <f t="shared" si="1"/>
        <v>109.32</v>
      </c>
      <c r="I8" s="201">
        <f t="shared" si="1"/>
        <v>100.88</v>
      </c>
      <c r="J8" s="201">
        <f t="shared" si="1"/>
        <v>111.3</v>
      </c>
      <c r="K8" s="201">
        <f t="shared" si="1"/>
        <v>102.12</v>
      </c>
      <c r="L8" s="201">
        <f t="shared" si="1"/>
        <v>112.67</v>
      </c>
      <c r="M8" s="201">
        <f t="shared" si="1"/>
        <v>0</v>
      </c>
      <c r="N8" s="201">
        <f t="shared" si="1"/>
        <v>0</v>
      </c>
      <c r="O8" s="201">
        <f t="shared" si="1"/>
        <v>98.58</v>
      </c>
    </row>
    <row r="9" spans="1:15">
      <c r="A9" s="2048">
        <v>2</v>
      </c>
      <c r="B9" s="385" t="s">
        <v>97</v>
      </c>
      <c r="C9" s="203">
        <v>187655</v>
      </c>
      <c r="D9" s="196">
        <f>ROUND((C9*(1+'Løntabel gældende fra'!$D$7%)),0)</f>
        <v>207028</v>
      </c>
      <c r="E9" s="204">
        <v>191187</v>
      </c>
      <c r="F9" s="205">
        <f>ROUND((E9*(1+'Løntabel gældende fra'!$D$7%)),0)</f>
        <v>210924</v>
      </c>
      <c r="G9" s="203">
        <v>193632</v>
      </c>
      <c r="H9" s="196">
        <f>ROUND((G9*(1+'Løntabel gældende fra'!$D$7%)),0)</f>
        <v>213622</v>
      </c>
      <c r="I9" s="204">
        <v>197161</v>
      </c>
      <c r="J9" s="205">
        <f>ROUND((I9*(1+'Løntabel gældende fra'!$D$7%)),0)</f>
        <v>217515</v>
      </c>
      <c r="K9" s="203">
        <v>199607</v>
      </c>
      <c r="L9" s="196">
        <f>ROUND((K9*(1+'Løntabel gældende fra'!$D$7%)),0)</f>
        <v>220214</v>
      </c>
      <c r="M9" s="428"/>
      <c r="N9" s="406">
        <v>174577.34</v>
      </c>
      <c r="O9" s="210">
        <f>ROUND(N9*(1+'Løntabel gældende fra'!$D$7%),2)</f>
        <v>192600.01</v>
      </c>
    </row>
    <row r="10" spans="1:15">
      <c r="A10" s="2049"/>
      <c r="B10" s="410" t="s">
        <v>98</v>
      </c>
      <c r="C10" s="415"/>
      <c r="D10" s="422">
        <f>ROUND(D9/12,2)</f>
        <v>17252.330000000002</v>
      </c>
      <c r="E10" s="419"/>
      <c r="F10" s="404">
        <f>ROUND(F9/12,2)</f>
        <v>17577</v>
      </c>
      <c r="G10" s="415">
        <f>G9/12</f>
        <v>16136</v>
      </c>
      <c r="H10" s="422">
        <f>ROUND(H9/12,2)</f>
        <v>17801.830000000002</v>
      </c>
      <c r="I10" s="419">
        <f>I9/12</f>
        <v>16430.083333333332</v>
      </c>
      <c r="J10" s="404">
        <f>ROUND(J9/12,2)</f>
        <v>18126.25</v>
      </c>
      <c r="K10" s="415">
        <f>K9/12</f>
        <v>16633.916666666668</v>
      </c>
      <c r="L10" s="422">
        <f>ROUND(L9/12,2)</f>
        <v>18351.169999999998</v>
      </c>
      <c r="M10" s="427"/>
      <c r="N10" s="405"/>
      <c r="O10" s="407">
        <f>ROUND(O9/12,2)</f>
        <v>16050</v>
      </c>
    </row>
    <row r="11" spans="1:15" ht="16" thickBot="1">
      <c r="A11" s="2050"/>
      <c r="B11" s="387" t="s">
        <v>229</v>
      </c>
      <c r="C11" s="200">
        <f>C9/12</f>
        <v>15637.916666666666</v>
      </c>
      <c r="D11" s="201">
        <f>ROUND(D10/160.33,2)</f>
        <v>107.61</v>
      </c>
      <c r="E11" s="202">
        <f>E9/12</f>
        <v>15932.25</v>
      </c>
      <c r="F11" s="201">
        <f t="shared" ref="F11:O11" si="2">ROUND(F10/160.33,2)</f>
        <v>109.63</v>
      </c>
      <c r="G11" s="201">
        <f t="shared" si="2"/>
        <v>100.64</v>
      </c>
      <c r="H11" s="201">
        <f t="shared" si="2"/>
        <v>111.03</v>
      </c>
      <c r="I11" s="201">
        <f t="shared" si="2"/>
        <v>102.48</v>
      </c>
      <c r="J11" s="201">
        <f t="shared" si="2"/>
        <v>113.06</v>
      </c>
      <c r="K11" s="201">
        <f t="shared" si="2"/>
        <v>103.75</v>
      </c>
      <c r="L11" s="201">
        <f t="shared" si="2"/>
        <v>114.46</v>
      </c>
      <c r="M11" s="201">
        <f t="shared" si="2"/>
        <v>0</v>
      </c>
      <c r="N11" s="201">
        <f t="shared" si="2"/>
        <v>0</v>
      </c>
      <c r="O11" s="201">
        <f t="shared" si="2"/>
        <v>100.11</v>
      </c>
    </row>
    <row r="12" spans="1:15">
      <c r="A12" s="2048">
        <v>3</v>
      </c>
      <c r="B12" s="385" t="s">
        <v>97</v>
      </c>
      <c r="C12" s="203">
        <v>190571</v>
      </c>
      <c r="D12" s="196">
        <f>ROUND((C12*(1+'Løntabel gældende fra'!$D$7%)),0)</f>
        <v>210245</v>
      </c>
      <c r="E12" s="204">
        <v>194187</v>
      </c>
      <c r="F12" s="205">
        <f>ROUND((E12*(1+'Løntabel gældende fra'!$D$7%)),0)</f>
        <v>214234</v>
      </c>
      <c r="G12" s="203">
        <v>196692</v>
      </c>
      <c r="H12" s="196">
        <f>ROUND((G12*(1+'Løntabel gældende fra'!$D$7%)),0)</f>
        <v>216998</v>
      </c>
      <c r="I12" s="204">
        <v>200308</v>
      </c>
      <c r="J12" s="205">
        <f>ROUND((I12*(1+'Løntabel gældende fra'!$D$7%)),0)</f>
        <v>220987</v>
      </c>
      <c r="K12" s="203">
        <v>202814</v>
      </c>
      <c r="L12" s="196">
        <f>ROUND((K12*(1+'Løntabel gældende fra'!$D$7%)),0)</f>
        <v>223752</v>
      </c>
      <c r="M12" s="428"/>
      <c r="N12" s="406">
        <v>177309.48</v>
      </c>
      <c r="O12" s="210">
        <f>ROUND(N12*(1+'Løntabel gældende fra'!$D$7%),2)</f>
        <v>195614.2</v>
      </c>
    </row>
    <row r="13" spans="1:15">
      <c r="A13" s="2049"/>
      <c r="B13" s="410" t="s">
        <v>98</v>
      </c>
      <c r="C13" s="415">
        <f>C12/12</f>
        <v>15880.916666666666</v>
      </c>
      <c r="D13" s="422">
        <f>ROUND(D12/12,2)</f>
        <v>17520.419999999998</v>
      </c>
      <c r="E13" s="419">
        <f>E12/12</f>
        <v>16182.25</v>
      </c>
      <c r="F13" s="404">
        <f>ROUND(F12/12,2)</f>
        <v>17852.830000000002</v>
      </c>
      <c r="G13" s="415">
        <f>G12/12</f>
        <v>16391</v>
      </c>
      <c r="H13" s="422">
        <f>ROUND(H12/12,2)</f>
        <v>18083.169999999998</v>
      </c>
      <c r="I13" s="419">
        <f>I12/12</f>
        <v>16692.333333333332</v>
      </c>
      <c r="J13" s="404">
        <f>ROUND(J12/12,2)</f>
        <v>18415.580000000002</v>
      </c>
      <c r="K13" s="415">
        <f>K12/12</f>
        <v>16901.166666666668</v>
      </c>
      <c r="L13" s="422">
        <f>ROUND(L12/12,2)</f>
        <v>18646</v>
      </c>
      <c r="M13" s="427"/>
      <c r="N13" s="405"/>
      <c r="O13" s="407">
        <f>ROUND(O12/12,2)</f>
        <v>16301.18</v>
      </c>
    </row>
    <row r="14" spans="1:15" ht="16" thickBot="1">
      <c r="A14" s="2050"/>
      <c r="B14" s="387" t="s">
        <v>229</v>
      </c>
      <c r="C14" s="416"/>
      <c r="D14" s="201">
        <f>ROUND(D13/160.33,2)</f>
        <v>109.28</v>
      </c>
      <c r="E14" s="420"/>
      <c r="F14" s="201">
        <f t="shared" ref="F14:O14" si="3">ROUND(F13/160.33,2)</f>
        <v>111.35</v>
      </c>
      <c r="G14" s="201">
        <f t="shared" si="3"/>
        <v>102.23</v>
      </c>
      <c r="H14" s="201">
        <f t="shared" si="3"/>
        <v>112.79</v>
      </c>
      <c r="I14" s="201">
        <f t="shared" si="3"/>
        <v>104.11</v>
      </c>
      <c r="J14" s="201">
        <f t="shared" si="3"/>
        <v>114.86</v>
      </c>
      <c r="K14" s="201">
        <f t="shared" si="3"/>
        <v>105.41</v>
      </c>
      <c r="L14" s="201">
        <f t="shared" si="3"/>
        <v>116.3</v>
      </c>
      <c r="M14" s="201">
        <f t="shared" si="3"/>
        <v>0</v>
      </c>
      <c r="N14" s="201">
        <f t="shared" si="3"/>
        <v>0</v>
      </c>
      <c r="O14" s="201">
        <f t="shared" si="3"/>
        <v>101.67</v>
      </c>
    </row>
    <row r="15" spans="1:15">
      <c r="A15" s="2048">
        <v>4</v>
      </c>
      <c r="B15" s="385" t="s">
        <v>97</v>
      </c>
      <c r="C15" s="203">
        <v>193567</v>
      </c>
      <c r="D15" s="196">
        <f>ROUND((C15*(1+'Løntabel gældende fra'!$D$7%)),0)</f>
        <v>213550</v>
      </c>
      <c r="E15" s="204">
        <v>197274</v>
      </c>
      <c r="F15" s="205">
        <f>ROUND((E15*(1+'Løntabel gældende fra'!$D$7%)),0)</f>
        <v>217640</v>
      </c>
      <c r="G15" s="203">
        <v>199840</v>
      </c>
      <c r="H15" s="196">
        <f>ROUND((G15*(1+'Løntabel gældende fra'!$D$7%)),0)</f>
        <v>220471</v>
      </c>
      <c r="I15" s="204">
        <v>203545</v>
      </c>
      <c r="J15" s="205">
        <f>ROUND((I15*(1+'Løntabel gældende fra'!$D$7%)),0)</f>
        <v>224558</v>
      </c>
      <c r="K15" s="203">
        <v>206110</v>
      </c>
      <c r="L15" s="196">
        <f>ROUND((K15*(1+'Løntabel gældende fra'!$D$7%)),0)</f>
        <v>227388</v>
      </c>
      <c r="M15" s="428"/>
      <c r="N15" s="406">
        <v>180117.41</v>
      </c>
      <c r="O15" s="210">
        <f>ROUND(N15*(1+'Løntabel gældende fra'!$D$7%),2)</f>
        <v>198712.01</v>
      </c>
    </row>
    <row r="16" spans="1:15">
      <c r="A16" s="2049"/>
      <c r="B16" s="410" t="s">
        <v>98</v>
      </c>
      <c r="C16" s="415">
        <f>C15/12</f>
        <v>16130.583333333334</v>
      </c>
      <c r="D16" s="422">
        <f>ROUND(D15/12,2)</f>
        <v>17795.830000000002</v>
      </c>
      <c r="E16" s="419">
        <f>E15/12</f>
        <v>16439.5</v>
      </c>
      <c r="F16" s="404">
        <f>ROUND(F15/12,2)</f>
        <v>18136.669999999998</v>
      </c>
      <c r="G16" s="415">
        <f>G15/12</f>
        <v>16653.333333333332</v>
      </c>
      <c r="H16" s="422">
        <f>ROUND(H15/12,2)</f>
        <v>18372.580000000002</v>
      </c>
      <c r="I16" s="419">
        <f>I15/12</f>
        <v>16962.083333333332</v>
      </c>
      <c r="J16" s="404">
        <f>ROUND(J15/12,2)</f>
        <v>18713.169999999998</v>
      </c>
      <c r="K16" s="415">
        <f>K15/12</f>
        <v>17175.833333333332</v>
      </c>
      <c r="L16" s="422">
        <f>ROUND(L15/12,2)</f>
        <v>18949</v>
      </c>
      <c r="M16" s="427"/>
      <c r="N16" s="405"/>
      <c r="O16" s="407">
        <f>ROUND(O15/12,2)</f>
        <v>16559.330000000002</v>
      </c>
    </row>
    <row r="17" spans="1:15" ht="16" thickBot="1">
      <c r="A17" s="2050"/>
      <c r="B17" s="387" t="s">
        <v>229</v>
      </c>
      <c r="C17" s="416"/>
      <c r="D17" s="201">
        <f>ROUND(D16/160.33,2)</f>
        <v>111</v>
      </c>
      <c r="E17" s="420"/>
      <c r="F17" s="201">
        <f t="shared" ref="F17:O17" si="4">ROUND(F16/160.33,2)</f>
        <v>113.12</v>
      </c>
      <c r="G17" s="201">
        <f t="shared" si="4"/>
        <v>103.87</v>
      </c>
      <c r="H17" s="201">
        <f t="shared" si="4"/>
        <v>114.59</v>
      </c>
      <c r="I17" s="201">
        <f t="shared" si="4"/>
        <v>105.79</v>
      </c>
      <c r="J17" s="201">
        <f t="shared" si="4"/>
        <v>116.72</v>
      </c>
      <c r="K17" s="201">
        <f t="shared" si="4"/>
        <v>107.13</v>
      </c>
      <c r="L17" s="201">
        <f t="shared" si="4"/>
        <v>118.19</v>
      </c>
      <c r="M17" s="201">
        <f t="shared" si="4"/>
        <v>0</v>
      </c>
      <c r="N17" s="201">
        <f t="shared" si="4"/>
        <v>0</v>
      </c>
      <c r="O17" s="201">
        <f t="shared" si="4"/>
        <v>103.28</v>
      </c>
    </row>
    <row r="18" spans="1:15">
      <c r="A18" s="2048">
        <v>5</v>
      </c>
      <c r="B18" s="385" t="s">
        <v>97</v>
      </c>
      <c r="C18" s="203">
        <v>196645</v>
      </c>
      <c r="D18" s="196">
        <f>ROUND((C18*(1+'Løntabel gældende fra'!$D$7%)),0)</f>
        <v>216946</v>
      </c>
      <c r="E18" s="204">
        <v>200442</v>
      </c>
      <c r="F18" s="205">
        <f>ROUND((E18*(1+'Løntabel gældende fra'!$D$7%)),0)</f>
        <v>221135</v>
      </c>
      <c r="G18" s="203">
        <v>203072</v>
      </c>
      <c r="H18" s="196">
        <f>ROUND((G18*(1+'Løntabel gældende fra'!$D$7%)),0)</f>
        <v>224036</v>
      </c>
      <c r="I18" s="204">
        <v>206869</v>
      </c>
      <c r="J18" s="205">
        <f>ROUND((I18*(1+'Løntabel gældende fra'!$D$7%)),0)</f>
        <v>228225</v>
      </c>
      <c r="K18" s="203">
        <v>209497</v>
      </c>
      <c r="L18" s="196">
        <f>ROUND((K18*(1+'Løntabel gældende fra'!$D$7%)),0)</f>
        <v>231125</v>
      </c>
      <c r="M18" s="428"/>
      <c r="N18" s="406">
        <v>183001.14</v>
      </c>
      <c r="O18" s="210">
        <f>ROUND(N18*(1+'Løntabel gældende fra'!$D$7%),2)</f>
        <v>201893.45</v>
      </c>
    </row>
    <row r="19" spans="1:15">
      <c r="A19" s="2049"/>
      <c r="B19" s="410" t="s">
        <v>98</v>
      </c>
      <c r="C19" s="415">
        <f>C18/12</f>
        <v>16387.083333333332</v>
      </c>
      <c r="D19" s="422">
        <f>ROUND(D18/12,2)</f>
        <v>18078.830000000002</v>
      </c>
      <c r="E19" s="419">
        <f>E18/12</f>
        <v>16703.5</v>
      </c>
      <c r="F19" s="404">
        <f>ROUND(F18/12,2)</f>
        <v>18427.919999999998</v>
      </c>
      <c r="G19" s="415">
        <f>G18/12</f>
        <v>16922.666666666668</v>
      </c>
      <c r="H19" s="422">
        <f>ROUND(H18/12,2)</f>
        <v>18669.669999999998</v>
      </c>
      <c r="I19" s="419">
        <f>I18/12</f>
        <v>17239.083333333332</v>
      </c>
      <c r="J19" s="404">
        <f>ROUND(J18/12,2)</f>
        <v>19018.75</v>
      </c>
      <c r="K19" s="415">
        <f>K18/12</f>
        <v>17458.083333333332</v>
      </c>
      <c r="L19" s="422">
        <f>ROUND(L18/12,2)</f>
        <v>19260.419999999998</v>
      </c>
      <c r="M19" s="427"/>
      <c r="N19" s="405"/>
      <c r="O19" s="407">
        <f>ROUND(O18/12,2)</f>
        <v>16824.45</v>
      </c>
    </row>
    <row r="20" spans="1:15" ht="16" thickBot="1">
      <c r="A20" s="2050"/>
      <c r="B20" s="387" t="s">
        <v>229</v>
      </c>
      <c r="C20" s="416"/>
      <c r="D20" s="201">
        <f>ROUND(D19/160.33,2)</f>
        <v>112.76</v>
      </c>
      <c r="E20" s="420"/>
      <c r="F20" s="201">
        <f t="shared" ref="F20:O20" si="5">ROUND(F19/160.33,2)</f>
        <v>114.94</v>
      </c>
      <c r="G20" s="201">
        <f t="shared" si="5"/>
        <v>105.55</v>
      </c>
      <c r="H20" s="201">
        <f t="shared" si="5"/>
        <v>116.45</v>
      </c>
      <c r="I20" s="201">
        <f t="shared" si="5"/>
        <v>107.52</v>
      </c>
      <c r="J20" s="201">
        <f t="shared" si="5"/>
        <v>118.62</v>
      </c>
      <c r="K20" s="201">
        <f t="shared" si="5"/>
        <v>108.89</v>
      </c>
      <c r="L20" s="201">
        <f t="shared" si="5"/>
        <v>120.13</v>
      </c>
      <c r="M20" s="201">
        <f t="shared" si="5"/>
        <v>0</v>
      </c>
      <c r="N20" s="201">
        <f t="shared" si="5"/>
        <v>0</v>
      </c>
      <c r="O20" s="201">
        <f t="shared" si="5"/>
        <v>104.94</v>
      </c>
    </row>
    <row r="21" spans="1:15">
      <c r="A21" s="2051">
        <v>6</v>
      </c>
      <c r="B21" s="194" t="s">
        <v>97</v>
      </c>
      <c r="C21" s="195">
        <v>199810</v>
      </c>
      <c r="D21" s="199">
        <f>ROUND((C21*(1+'Løntabel gældende fra'!$D$7%)),0)</f>
        <v>220438</v>
      </c>
      <c r="E21" s="197">
        <v>203700</v>
      </c>
      <c r="F21" s="198">
        <f>ROUND((E21*(1+'Løntabel gældende fra'!$D$7%)),0)</f>
        <v>224729</v>
      </c>
      <c r="G21" s="195">
        <v>206395</v>
      </c>
      <c r="H21" s="199">
        <f>ROUND((G21*(1+'Løntabel gældende fra'!$D$7%)),0)</f>
        <v>227702</v>
      </c>
      <c r="I21" s="197">
        <v>210285</v>
      </c>
      <c r="J21" s="198">
        <f>ROUND((I21*(1+'Løntabel gældende fra'!$D$7%)),0)</f>
        <v>231994</v>
      </c>
      <c r="K21" s="195">
        <v>212978</v>
      </c>
      <c r="L21" s="199">
        <f>ROUND((K21*(1+'Løntabel gældende fra'!$D$7%)),0)</f>
        <v>234965</v>
      </c>
      <c r="M21" s="429"/>
      <c r="N21" s="408">
        <v>185966.06</v>
      </c>
      <c r="O21" s="409">
        <f>ROUND(N21*(1+'Løntabel gældende fra'!$D$7%),2)</f>
        <v>205164.45</v>
      </c>
    </row>
    <row r="22" spans="1:15">
      <c r="A22" s="2049"/>
      <c r="B22" s="410" t="s">
        <v>98</v>
      </c>
      <c r="C22" s="415">
        <f>C21/12</f>
        <v>16650.833333333332</v>
      </c>
      <c r="D22" s="422">
        <f>ROUND(D21/12,2)</f>
        <v>18369.830000000002</v>
      </c>
      <c r="E22" s="419">
        <f>E21/12</f>
        <v>16975</v>
      </c>
      <c r="F22" s="404">
        <f>ROUND(F21/12,2)</f>
        <v>18727.419999999998</v>
      </c>
      <c r="G22" s="415">
        <f>G21/12</f>
        <v>17199.583333333332</v>
      </c>
      <c r="H22" s="422">
        <f>ROUND(H21/12,2)</f>
        <v>18975.169999999998</v>
      </c>
      <c r="I22" s="419">
        <f>I21/12</f>
        <v>17523.75</v>
      </c>
      <c r="J22" s="404">
        <f>ROUND(J21/12,2)</f>
        <v>19332.830000000002</v>
      </c>
      <c r="K22" s="415">
        <f>K21/12</f>
        <v>17748.166666666668</v>
      </c>
      <c r="L22" s="422">
        <f>ROUND(L21/12,2)</f>
        <v>19580.419999999998</v>
      </c>
      <c r="M22" s="427"/>
      <c r="N22" s="405"/>
      <c r="O22" s="407">
        <f>ROUND(O21/12,2)</f>
        <v>17097.04</v>
      </c>
    </row>
    <row r="23" spans="1:15" ht="16" thickBot="1">
      <c r="A23" s="2052"/>
      <c r="B23" s="411" t="s">
        <v>229</v>
      </c>
      <c r="C23" s="417"/>
      <c r="D23" s="423">
        <f>ROUND(D22/160.33,2)</f>
        <v>114.58</v>
      </c>
      <c r="E23" s="421"/>
      <c r="F23" s="423">
        <f t="shared" ref="F23:O23" si="6">ROUND(F22/160.33,2)</f>
        <v>116.81</v>
      </c>
      <c r="G23" s="423">
        <f t="shared" si="6"/>
        <v>107.28</v>
      </c>
      <c r="H23" s="423">
        <f t="shared" si="6"/>
        <v>118.35</v>
      </c>
      <c r="I23" s="423">
        <f t="shared" si="6"/>
        <v>109.3</v>
      </c>
      <c r="J23" s="423">
        <f t="shared" si="6"/>
        <v>120.58</v>
      </c>
      <c r="K23" s="423">
        <f t="shared" si="6"/>
        <v>110.7</v>
      </c>
      <c r="L23" s="423">
        <f t="shared" si="6"/>
        <v>122.13</v>
      </c>
      <c r="M23" s="423">
        <f t="shared" si="6"/>
        <v>0</v>
      </c>
      <c r="N23" s="423">
        <f t="shared" si="6"/>
        <v>0</v>
      </c>
      <c r="O23" s="423">
        <f t="shared" si="6"/>
        <v>106.64</v>
      </c>
    </row>
    <row r="24" spans="1:15">
      <c r="A24" s="2048">
        <v>7</v>
      </c>
      <c r="B24" s="385" t="s">
        <v>97</v>
      </c>
      <c r="C24" s="203">
        <v>203058</v>
      </c>
      <c r="D24" s="196">
        <f>ROUND((C24*(1+'Løntabel gældende fra'!$D$7%)),0)</f>
        <v>224021</v>
      </c>
      <c r="E24" s="204">
        <v>207045</v>
      </c>
      <c r="F24" s="205">
        <f>ROUND((E24*(1+'Løntabel gældende fra'!$D$7%)),0)</f>
        <v>228419</v>
      </c>
      <c r="G24" s="203">
        <v>209805</v>
      </c>
      <c r="H24" s="196">
        <f>ROUND((G24*(1+'Løntabel gældende fra'!$D$7%)),0)</f>
        <v>231464</v>
      </c>
      <c r="I24" s="204">
        <v>213792</v>
      </c>
      <c r="J24" s="205">
        <f>ROUND((I24*(1+'Løntabel gældende fra'!$D$7%)),0)</f>
        <v>235863</v>
      </c>
      <c r="K24" s="203">
        <v>216551</v>
      </c>
      <c r="L24" s="196">
        <f>ROUND((K24*(1+'Løntabel gældende fra'!$D$7%)),0)</f>
        <v>238907</v>
      </c>
      <c r="M24" s="428"/>
      <c r="N24" s="406">
        <v>189010.4</v>
      </c>
      <c r="O24" s="210">
        <f>ROUND(N24*(1+'Løntabel gældende fra'!$D$7%),2)</f>
        <v>208523.08</v>
      </c>
    </row>
    <row r="25" spans="1:15">
      <c r="A25" s="2049"/>
      <c r="B25" s="410" t="s">
        <v>98</v>
      </c>
      <c r="C25" s="415"/>
      <c r="D25" s="422">
        <f>ROUND(D24/12,2)</f>
        <v>18668.419999999998</v>
      </c>
      <c r="E25" s="419">
        <f>E24/12</f>
        <v>17253.75</v>
      </c>
      <c r="F25" s="404">
        <f>ROUND(F24/12,2)</f>
        <v>19034.919999999998</v>
      </c>
      <c r="G25" s="415">
        <f>G24/12</f>
        <v>17483.75</v>
      </c>
      <c r="H25" s="422">
        <f>ROUND(H24/12,2)</f>
        <v>19288.669999999998</v>
      </c>
      <c r="I25" s="419">
        <f>I24/12</f>
        <v>17816</v>
      </c>
      <c r="J25" s="404">
        <f>ROUND(J24/12,2)</f>
        <v>19655.25</v>
      </c>
      <c r="K25" s="415">
        <f>K24/12</f>
        <v>18045.916666666668</v>
      </c>
      <c r="L25" s="422">
        <f>ROUND(L24/12,2)</f>
        <v>19908.919999999998</v>
      </c>
      <c r="M25" s="427"/>
      <c r="N25" s="405"/>
      <c r="O25" s="407">
        <f>ROUND(O24/12,2)</f>
        <v>17376.919999999998</v>
      </c>
    </row>
    <row r="26" spans="1:15" ht="16" thickBot="1">
      <c r="A26" s="2050"/>
      <c r="B26" s="387" t="s">
        <v>229</v>
      </c>
      <c r="C26" s="200">
        <f>C24/12</f>
        <v>16921.5</v>
      </c>
      <c r="D26" s="201">
        <f>ROUND(D25/160.33,2)</f>
        <v>116.44</v>
      </c>
      <c r="E26" s="420"/>
      <c r="F26" s="201">
        <f t="shared" ref="F26:O26" si="7">ROUND(F25/160.33,2)</f>
        <v>118.72</v>
      </c>
      <c r="G26" s="201">
        <f t="shared" si="7"/>
        <v>109.05</v>
      </c>
      <c r="H26" s="201">
        <f t="shared" si="7"/>
        <v>120.31</v>
      </c>
      <c r="I26" s="201">
        <f t="shared" si="7"/>
        <v>111.12</v>
      </c>
      <c r="J26" s="201">
        <f t="shared" si="7"/>
        <v>122.59</v>
      </c>
      <c r="K26" s="201">
        <f t="shared" si="7"/>
        <v>112.55</v>
      </c>
      <c r="L26" s="201">
        <f t="shared" si="7"/>
        <v>124.17</v>
      </c>
      <c r="M26" s="201">
        <f t="shared" si="7"/>
        <v>0</v>
      </c>
      <c r="N26" s="201">
        <f t="shared" si="7"/>
        <v>0</v>
      </c>
      <c r="O26" s="201">
        <f t="shared" si="7"/>
        <v>108.38</v>
      </c>
    </row>
    <row r="27" spans="1:15">
      <c r="A27" s="2051">
        <v>8</v>
      </c>
      <c r="B27" s="194" t="s">
        <v>97</v>
      </c>
      <c r="C27" s="195">
        <v>206396</v>
      </c>
      <c r="D27" s="199">
        <f>ROUND((C27*(1+'Løntabel gældende fra'!$D$7%)),0)</f>
        <v>227703</v>
      </c>
      <c r="E27" s="197">
        <v>210482</v>
      </c>
      <c r="F27" s="198">
        <f>ROUND((E27*(1+'Løntabel gældende fra'!$D$7%)),0)</f>
        <v>232211</v>
      </c>
      <c r="G27" s="195">
        <v>213311</v>
      </c>
      <c r="H27" s="199">
        <f>ROUND((G27*(1+'Løntabel gældende fra'!$D$7%)),0)</f>
        <v>235332</v>
      </c>
      <c r="I27" s="197">
        <v>217397</v>
      </c>
      <c r="J27" s="198">
        <f>ROUND((I27*(1+'Løntabel gældende fra'!$D$7%)),0)</f>
        <v>239840</v>
      </c>
      <c r="K27" s="195">
        <v>220226</v>
      </c>
      <c r="L27" s="199">
        <f>ROUND((K27*(1+'Løntabel gældende fra'!$D$7%)),0)</f>
        <v>242961</v>
      </c>
      <c r="M27" s="429"/>
      <c r="N27" s="408">
        <v>192139.54</v>
      </c>
      <c r="O27" s="409">
        <f>ROUND(N27*(1+'Løntabel gældende fra'!$D$7%),2)</f>
        <v>211975.26</v>
      </c>
    </row>
    <row r="28" spans="1:15">
      <c r="A28" s="2049"/>
      <c r="B28" s="410" t="s">
        <v>98</v>
      </c>
      <c r="C28" s="415"/>
      <c r="D28" s="422">
        <f>ROUND(D27/12,2)</f>
        <v>18975.25</v>
      </c>
      <c r="E28" s="419">
        <f>E27/12</f>
        <v>17540.166666666668</v>
      </c>
      <c r="F28" s="404">
        <f>ROUND(F27/12,2)</f>
        <v>19350.919999999998</v>
      </c>
      <c r="G28" s="415">
        <f>G27/12</f>
        <v>17775.916666666668</v>
      </c>
      <c r="H28" s="422">
        <f>ROUND(H27/12,2)</f>
        <v>19611</v>
      </c>
      <c r="I28" s="419">
        <f>I27/12</f>
        <v>18116.416666666668</v>
      </c>
      <c r="J28" s="404">
        <f>ROUND(J27/12,2)</f>
        <v>19986.669999999998</v>
      </c>
      <c r="K28" s="415">
        <f>K27/12</f>
        <v>18352.166666666668</v>
      </c>
      <c r="L28" s="422">
        <f>ROUND(L27/12,2)</f>
        <v>20246.75</v>
      </c>
      <c r="M28" s="427"/>
      <c r="N28" s="405"/>
      <c r="O28" s="407">
        <f>ROUND(O27/12,2)</f>
        <v>17664.61</v>
      </c>
    </row>
    <row r="29" spans="1:15" ht="16" thickBot="1">
      <c r="A29" s="2052"/>
      <c r="B29" s="411" t="s">
        <v>229</v>
      </c>
      <c r="C29" s="418">
        <f>C27/12</f>
        <v>17199.666666666668</v>
      </c>
      <c r="D29" s="423">
        <f>ROUND(D28/160.33,2)</f>
        <v>118.35</v>
      </c>
      <c r="E29" s="421"/>
      <c r="F29" s="423">
        <f t="shared" ref="F29:O29" si="8">ROUND(F28/160.33,2)</f>
        <v>120.69</v>
      </c>
      <c r="G29" s="423">
        <f t="shared" si="8"/>
        <v>110.87</v>
      </c>
      <c r="H29" s="423">
        <f t="shared" si="8"/>
        <v>122.32</v>
      </c>
      <c r="I29" s="423">
        <f t="shared" si="8"/>
        <v>112.99</v>
      </c>
      <c r="J29" s="423">
        <f t="shared" si="8"/>
        <v>124.66</v>
      </c>
      <c r="K29" s="423">
        <f t="shared" si="8"/>
        <v>114.46</v>
      </c>
      <c r="L29" s="423">
        <f t="shared" si="8"/>
        <v>126.28</v>
      </c>
      <c r="M29" s="423">
        <f t="shared" si="8"/>
        <v>0</v>
      </c>
      <c r="N29" s="423">
        <f t="shared" si="8"/>
        <v>0</v>
      </c>
      <c r="O29" s="423">
        <f t="shared" si="8"/>
        <v>110.18</v>
      </c>
    </row>
    <row r="30" spans="1:15">
      <c r="A30" s="2048">
        <v>9</v>
      </c>
      <c r="B30" s="385" t="s">
        <v>97</v>
      </c>
      <c r="C30" s="203">
        <v>209829</v>
      </c>
      <c r="D30" s="196">
        <f>ROUND((C30*(1+'Løntabel gældende fra'!$D$7%)),0)</f>
        <v>231491</v>
      </c>
      <c r="E30" s="204">
        <v>214015</v>
      </c>
      <c r="F30" s="205">
        <f>ROUND((E30*(1+'Løntabel gældende fra'!$D$7%)),0)</f>
        <v>236109</v>
      </c>
      <c r="G30" s="203">
        <v>216916</v>
      </c>
      <c r="H30" s="196">
        <f>ROUND((G30*(1+'Løntabel gældende fra'!$D$7%)),0)</f>
        <v>239310</v>
      </c>
      <c r="I30" s="204">
        <v>221102</v>
      </c>
      <c r="J30" s="205">
        <f>ROUND((I30*(1+'Løntabel gældende fra'!$D$7%)),0)</f>
        <v>243928</v>
      </c>
      <c r="K30" s="203">
        <v>224002</v>
      </c>
      <c r="L30" s="196">
        <f>ROUND((K30*(1+'Løntabel gældende fra'!$D$7%)),0)</f>
        <v>247127</v>
      </c>
      <c r="M30" s="428"/>
      <c r="N30" s="406">
        <v>195355.31</v>
      </c>
      <c r="O30" s="210">
        <f>ROUND(N30*(1+'Løntabel gældende fra'!$D$7%),2)</f>
        <v>215523.01</v>
      </c>
    </row>
    <row r="31" spans="1:15">
      <c r="A31" s="2049"/>
      <c r="B31" s="410" t="s">
        <v>235</v>
      </c>
      <c r="C31" s="415"/>
      <c r="D31" s="422">
        <f>ROUND(D30/12,2)</f>
        <v>19290.919999999998</v>
      </c>
      <c r="E31" s="419">
        <f>E30/12</f>
        <v>17834.583333333332</v>
      </c>
      <c r="F31" s="404">
        <f>ROUND(F30/12,2)</f>
        <v>19675.75</v>
      </c>
      <c r="G31" s="415">
        <f>G30/12</f>
        <v>18076.333333333332</v>
      </c>
      <c r="H31" s="422">
        <f>ROUND(H30/12,2)</f>
        <v>19942.5</v>
      </c>
      <c r="I31" s="419">
        <f>I30/12</f>
        <v>18425.166666666668</v>
      </c>
      <c r="J31" s="404">
        <f>ROUND(J30/12,2)</f>
        <v>20327.330000000002</v>
      </c>
      <c r="K31" s="415">
        <f>K30/12</f>
        <v>18666.833333333332</v>
      </c>
      <c r="L31" s="422">
        <f>ROUND(L30/12,2)</f>
        <v>20593.919999999998</v>
      </c>
      <c r="M31" s="427"/>
      <c r="N31" s="405"/>
      <c r="O31" s="407">
        <f>ROUND(O30/12,2)</f>
        <v>17960.25</v>
      </c>
    </row>
    <row r="32" spans="1:15" ht="16" thickBot="1">
      <c r="A32" s="2050"/>
      <c r="B32" s="387" t="s">
        <v>229</v>
      </c>
      <c r="C32" s="200">
        <f>C30/12</f>
        <v>17485.75</v>
      </c>
      <c r="D32" s="201">
        <f>ROUND(D31/160.33,2)</f>
        <v>120.32</v>
      </c>
      <c r="E32" s="420"/>
      <c r="F32" s="201">
        <f t="shared" ref="F32:O32" si="9">ROUND(F31/160.33,2)</f>
        <v>122.72</v>
      </c>
      <c r="G32" s="201">
        <f t="shared" si="9"/>
        <v>112.74</v>
      </c>
      <c r="H32" s="201">
        <f t="shared" si="9"/>
        <v>124.38</v>
      </c>
      <c r="I32" s="201">
        <f t="shared" si="9"/>
        <v>114.92</v>
      </c>
      <c r="J32" s="201">
        <f t="shared" si="9"/>
        <v>126.78</v>
      </c>
      <c r="K32" s="201">
        <f t="shared" si="9"/>
        <v>116.43</v>
      </c>
      <c r="L32" s="201">
        <f t="shared" si="9"/>
        <v>128.44999999999999</v>
      </c>
      <c r="M32" s="201">
        <f t="shared" si="9"/>
        <v>0</v>
      </c>
      <c r="N32" s="201">
        <f t="shared" si="9"/>
        <v>0</v>
      </c>
      <c r="O32" s="201">
        <f t="shared" si="9"/>
        <v>112.02</v>
      </c>
    </row>
    <row r="33" spans="1:15">
      <c r="A33" s="2051">
        <v>10</v>
      </c>
      <c r="B33" s="194" t="s">
        <v>97</v>
      </c>
      <c r="C33" s="195">
        <v>213353</v>
      </c>
      <c r="D33" s="199">
        <f>ROUND((C33*(1+'Løntabel gældende fra'!$D$7%)),0)</f>
        <v>235379</v>
      </c>
      <c r="E33" s="197">
        <v>217646</v>
      </c>
      <c r="F33" s="198">
        <f>ROUND((E33*(1+'Løntabel gældende fra'!$D$7%)),0)</f>
        <v>240115</v>
      </c>
      <c r="G33" s="195">
        <v>220617</v>
      </c>
      <c r="H33" s="199">
        <f>ROUND((G33*(1+'Løntabel gældende fra'!$D$7%)),0)</f>
        <v>243393</v>
      </c>
      <c r="I33" s="197">
        <v>224909</v>
      </c>
      <c r="J33" s="198">
        <f>ROUND((I33*(1+'Løntabel gældende fra'!$D$7%)),0)</f>
        <v>248128</v>
      </c>
      <c r="K33" s="195">
        <v>227882</v>
      </c>
      <c r="L33" s="199">
        <f>ROUND((K33*(1+'Løntabel gældende fra'!$D$7%)),0)</f>
        <v>251408</v>
      </c>
      <c r="M33" s="429"/>
      <c r="N33" s="408">
        <v>198659.5</v>
      </c>
      <c r="O33" s="409">
        <f>ROUND(N33*(1+'Løntabel gældende fra'!$D$7%),2)</f>
        <v>219168.31</v>
      </c>
    </row>
    <row r="34" spans="1:15">
      <c r="A34" s="2049"/>
      <c r="B34" s="410" t="s">
        <v>98</v>
      </c>
      <c r="C34" s="415"/>
      <c r="D34" s="422">
        <f>ROUND(D33/12,2)</f>
        <v>19614.919999999998</v>
      </c>
      <c r="E34" s="419">
        <f>E33/12</f>
        <v>18137.166666666668</v>
      </c>
      <c r="F34" s="404">
        <f>ROUND(F33/12,2)</f>
        <v>20009.580000000002</v>
      </c>
      <c r="G34" s="415">
        <f>G33/12</f>
        <v>18384.75</v>
      </c>
      <c r="H34" s="422">
        <f>ROUND(H33/12,2)</f>
        <v>20282.75</v>
      </c>
      <c r="I34" s="419">
        <f>I33/12</f>
        <v>18742.416666666668</v>
      </c>
      <c r="J34" s="404">
        <f>ROUND(J33/12,2)</f>
        <v>20677.330000000002</v>
      </c>
      <c r="K34" s="415">
        <f>K33/12</f>
        <v>18990.166666666668</v>
      </c>
      <c r="L34" s="422">
        <f>ROUND(L33/12,2)</f>
        <v>20950.669999999998</v>
      </c>
      <c r="M34" s="427"/>
      <c r="N34" s="405"/>
      <c r="O34" s="407">
        <f>ROUND(O33/12,2)</f>
        <v>18264.03</v>
      </c>
    </row>
    <row r="35" spans="1:15" ht="16" thickBot="1">
      <c r="A35" s="2052"/>
      <c r="B35" s="411" t="s">
        <v>229</v>
      </c>
      <c r="C35" s="418">
        <f>C33/12</f>
        <v>17779.416666666668</v>
      </c>
      <c r="D35" s="423">
        <f>ROUND(D34/160.33,2)</f>
        <v>122.34</v>
      </c>
      <c r="E35" s="421"/>
      <c r="F35" s="423">
        <f t="shared" ref="F35:O35" si="10">ROUND(F34/160.33,2)</f>
        <v>124.8</v>
      </c>
      <c r="G35" s="423">
        <f t="shared" si="10"/>
        <v>114.67</v>
      </c>
      <c r="H35" s="423">
        <f t="shared" si="10"/>
        <v>126.51</v>
      </c>
      <c r="I35" s="423">
        <f t="shared" si="10"/>
        <v>116.9</v>
      </c>
      <c r="J35" s="423">
        <f t="shared" si="10"/>
        <v>128.97</v>
      </c>
      <c r="K35" s="423">
        <f t="shared" si="10"/>
        <v>118.44</v>
      </c>
      <c r="L35" s="423">
        <f t="shared" si="10"/>
        <v>130.66999999999999</v>
      </c>
      <c r="M35" s="423">
        <f t="shared" si="10"/>
        <v>0</v>
      </c>
      <c r="N35" s="423">
        <f t="shared" si="10"/>
        <v>0</v>
      </c>
      <c r="O35" s="423">
        <f t="shared" si="10"/>
        <v>113.92</v>
      </c>
    </row>
    <row r="36" spans="1:15">
      <c r="A36" s="2048">
        <v>11</v>
      </c>
      <c r="B36" s="385" t="s">
        <v>97</v>
      </c>
      <c r="C36" s="203">
        <v>216134</v>
      </c>
      <c r="D36" s="196">
        <f>ROUND((C36*(1+'Løntabel gældende fra'!$D$7%)),0)</f>
        <v>238447</v>
      </c>
      <c r="E36" s="204">
        <v>220533</v>
      </c>
      <c r="F36" s="205">
        <f>ROUND((E36*(1+'Løntabel gældende fra'!$D$7%)),0)</f>
        <v>243300</v>
      </c>
      <c r="G36" s="203">
        <v>223579</v>
      </c>
      <c r="H36" s="196">
        <f>ROUND((G36*(1+'Løntabel gældende fra'!$D$7%)),0)</f>
        <v>246660</v>
      </c>
      <c r="I36" s="204">
        <v>227978</v>
      </c>
      <c r="J36" s="205">
        <f>ROUND((I36*(1+'Løntabel gældende fra'!$D$7%)),0)</f>
        <v>251514</v>
      </c>
      <c r="K36" s="203">
        <v>231023</v>
      </c>
      <c r="L36" s="196">
        <f>ROUND((K36*(1+'Løntabel gældende fra'!$D$7%)),0)</f>
        <v>254873</v>
      </c>
      <c r="M36" s="428"/>
      <c r="N36" s="406">
        <v>202053.93</v>
      </c>
      <c r="O36" s="210">
        <f>ROUND(N36*(1+'Løntabel gældende fra'!$D$7%),2)</f>
        <v>222913.17</v>
      </c>
    </row>
    <row r="37" spans="1:15">
      <c r="A37" s="2049"/>
      <c r="B37" s="410" t="s">
        <v>235</v>
      </c>
      <c r="C37" s="415"/>
      <c r="D37" s="422">
        <f>ROUND(D36/12,2)</f>
        <v>19870.580000000002</v>
      </c>
      <c r="E37" s="419">
        <f>E36/12</f>
        <v>18377.75</v>
      </c>
      <c r="F37" s="404">
        <f>ROUND(F36/12,2)</f>
        <v>20275</v>
      </c>
      <c r="G37" s="415">
        <f>G36/12</f>
        <v>18631.583333333332</v>
      </c>
      <c r="H37" s="422">
        <f>ROUND(H36/12,2)</f>
        <v>20555</v>
      </c>
      <c r="I37" s="419">
        <f>I36/12</f>
        <v>18998.166666666668</v>
      </c>
      <c r="J37" s="404">
        <f>ROUND(J36/12,2)</f>
        <v>20959.5</v>
      </c>
      <c r="K37" s="415">
        <f>K36/12</f>
        <v>19251.916666666668</v>
      </c>
      <c r="L37" s="422">
        <f>ROUND(L36/12,2)</f>
        <v>21239.42</v>
      </c>
      <c r="M37" s="427"/>
      <c r="N37" s="405"/>
      <c r="O37" s="407">
        <f>ROUND(O36/12,2)</f>
        <v>18576.099999999999</v>
      </c>
    </row>
    <row r="38" spans="1:15" ht="16" thickBot="1">
      <c r="A38" s="2050"/>
      <c r="B38" s="387" t="s">
        <v>229</v>
      </c>
      <c r="C38" s="200">
        <f>C36/12</f>
        <v>18011.166666666668</v>
      </c>
      <c r="D38" s="201">
        <f>ROUND(D37/160.33,2)</f>
        <v>123.94</v>
      </c>
      <c r="E38" s="420"/>
      <c r="F38" s="201">
        <f t="shared" ref="F38:O38" si="11">ROUND(F37/160.33,2)</f>
        <v>126.46</v>
      </c>
      <c r="G38" s="201">
        <f t="shared" si="11"/>
        <v>116.21</v>
      </c>
      <c r="H38" s="201">
        <f t="shared" si="11"/>
        <v>128.19999999999999</v>
      </c>
      <c r="I38" s="201">
        <f t="shared" si="11"/>
        <v>118.49</v>
      </c>
      <c r="J38" s="201">
        <f t="shared" si="11"/>
        <v>130.72999999999999</v>
      </c>
      <c r="K38" s="201">
        <f t="shared" si="11"/>
        <v>120.08</v>
      </c>
      <c r="L38" s="201">
        <f t="shared" si="11"/>
        <v>132.47</v>
      </c>
      <c r="M38" s="201">
        <f t="shared" si="11"/>
        <v>0</v>
      </c>
      <c r="N38" s="201">
        <f t="shared" si="11"/>
        <v>0</v>
      </c>
      <c r="O38" s="201">
        <f t="shared" si="11"/>
        <v>115.86</v>
      </c>
    </row>
    <row r="39" spans="1:15">
      <c r="A39" s="2051">
        <v>12</v>
      </c>
      <c r="B39" s="194" t="s">
        <v>97</v>
      </c>
      <c r="C39" s="195">
        <v>219855</v>
      </c>
      <c r="D39" s="199">
        <f>ROUND((C39*(1+'Løntabel gældende fra'!$D$7%)),0)</f>
        <v>242552</v>
      </c>
      <c r="E39" s="197">
        <v>224365</v>
      </c>
      <c r="F39" s="198">
        <f>ROUND((E39*(1+'Løntabel gældende fra'!$D$7%)),0)</f>
        <v>247528</v>
      </c>
      <c r="G39" s="195">
        <v>227489</v>
      </c>
      <c r="H39" s="199">
        <f>ROUND((G39*(1+'Løntabel gældende fra'!$D$7%)),0)</f>
        <v>250974</v>
      </c>
      <c r="I39" s="197">
        <v>231997</v>
      </c>
      <c r="J39" s="198">
        <f>ROUND((I39*(1+'Løntabel gældende fra'!$D$7%)),0)</f>
        <v>255947</v>
      </c>
      <c r="K39" s="195">
        <v>235119</v>
      </c>
      <c r="L39" s="199">
        <f>ROUND((K39*(1+'Løntabel gældende fra'!$D$7%)),0)</f>
        <v>259392</v>
      </c>
      <c r="M39" s="429"/>
      <c r="N39" s="408">
        <v>205542.18</v>
      </c>
      <c r="O39" s="409">
        <f>ROUND(N39*(1+'Løntabel gældende fra'!$D$7%),2)</f>
        <v>226761.53</v>
      </c>
    </row>
    <row r="40" spans="1:15">
      <c r="A40" s="2049"/>
      <c r="B40" s="410" t="s">
        <v>98</v>
      </c>
      <c r="C40" s="415"/>
      <c r="D40" s="422">
        <f>ROUND(D39/12,2)</f>
        <v>20212.669999999998</v>
      </c>
      <c r="E40" s="419">
        <f>E39/12</f>
        <v>18697.083333333332</v>
      </c>
      <c r="F40" s="404">
        <f>ROUND(F39/12,2)</f>
        <v>20627.330000000002</v>
      </c>
      <c r="G40" s="415">
        <f>G39/12</f>
        <v>18957.416666666668</v>
      </c>
      <c r="H40" s="422">
        <f>ROUND(H39/12,2)</f>
        <v>20914.5</v>
      </c>
      <c r="I40" s="419">
        <f>I39/12</f>
        <v>19333.083333333332</v>
      </c>
      <c r="J40" s="404">
        <f>ROUND(J39/12,2)</f>
        <v>21328.92</v>
      </c>
      <c r="K40" s="415">
        <f>K39/12</f>
        <v>19593.25</v>
      </c>
      <c r="L40" s="422">
        <f>ROUND(L39/12,2)</f>
        <v>21616</v>
      </c>
      <c r="M40" s="427"/>
      <c r="N40" s="405"/>
      <c r="O40" s="407">
        <f>ROUND(O39/12,2)</f>
        <v>18896.79</v>
      </c>
    </row>
    <row r="41" spans="1:15" ht="16" thickBot="1">
      <c r="A41" s="2052"/>
      <c r="B41" s="411" t="s">
        <v>229</v>
      </c>
      <c r="C41" s="418">
        <f>C39/12</f>
        <v>18321.25</v>
      </c>
      <c r="D41" s="423">
        <f>ROUND(D40/160.33,2)</f>
        <v>126.07</v>
      </c>
      <c r="E41" s="423">
        <f t="shared" ref="E41:O41" si="12">ROUND(E40/160.33,2)</f>
        <v>116.62</v>
      </c>
      <c r="F41" s="423">
        <f t="shared" si="12"/>
        <v>128.66</v>
      </c>
      <c r="G41" s="423">
        <f t="shared" si="12"/>
        <v>118.24</v>
      </c>
      <c r="H41" s="423">
        <f t="shared" si="12"/>
        <v>130.44999999999999</v>
      </c>
      <c r="I41" s="423">
        <f t="shared" si="12"/>
        <v>120.58</v>
      </c>
      <c r="J41" s="423">
        <f t="shared" si="12"/>
        <v>133.03</v>
      </c>
      <c r="K41" s="423">
        <f t="shared" si="12"/>
        <v>122.21</v>
      </c>
      <c r="L41" s="423">
        <f t="shared" si="12"/>
        <v>134.82</v>
      </c>
      <c r="M41" s="423">
        <f t="shared" si="12"/>
        <v>0</v>
      </c>
      <c r="N41" s="423">
        <f t="shared" si="12"/>
        <v>0</v>
      </c>
      <c r="O41" s="423">
        <f t="shared" si="12"/>
        <v>117.86</v>
      </c>
    </row>
    <row r="42" spans="1:15">
      <c r="A42" s="2048">
        <v>13</v>
      </c>
      <c r="B42" s="385" t="s">
        <v>97</v>
      </c>
      <c r="C42" s="203">
        <v>223681</v>
      </c>
      <c r="D42" s="196">
        <f>ROUND((C42*(1+'Løntabel gældende fra'!$D$7%)),0)</f>
        <v>246773</v>
      </c>
      <c r="E42" s="204">
        <v>228304</v>
      </c>
      <c r="F42" s="205">
        <f>ROUND((E42*(1+'Løntabel gældende fra'!$D$7%)),0)</f>
        <v>251873</v>
      </c>
      <c r="G42" s="203">
        <v>231504</v>
      </c>
      <c r="H42" s="196">
        <f>ROUND((G42*(1+'Løntabel gældende fra'!$D$7%)),0)</f>
        <v>255404</v>
      </c>
      <c r="I42" s="204">
        <v>236129</v>
      </c>
      <c r="J42" s="205">
        <f>ROUND((I42*(1+'Løntabel gældende fra'!$D$7%)),0)</f>
        <v>260506</v>
      </c>
      <c r="K42" s="203">
        <v>239328</v>
      </c>
      <c r="L42" s="196">
        <f>ROUND((K42*(1+'Løntabel gældende fra'!$D$7%)),0)</f>
        <v>264035</v>
      </c>
      <c r="M42" s="428"/>
      <c r="N42" s="406">
        <v>209126.09</v>
      </c>
      <c r="O42" s="210">
        <f>ROUND(N42*(1+'Løntabel gældende fra'!$D$7%),2)</f>
        <v>230715.43</v>
      </c>
    </row>
    <row r="43" spans="1:15">
      <c r="A43" s="2049"/>
      <c r="B43" s="410" t="s">
        <v>235</v>
      </c>
      <c r="C43" s="415"/>
      <c r="D43" s="422">
        <f>ROUND(D42/12,2)</f>
        <v>20564.419999999998</v>
      </c>
      <c r="E43" s="419">
        <f>E42/12</f>
        <v>19025.333333333332</v>
      </c>
      <c r="F43" s="404">
        <f>ROUND(F42/12,2)</f>
        <v>20989.42</v>
      </c>
      <c r="G43" s="415">
        <f>G42/12</f>
        <v>19292</v>
      </c>
      <c r="H43" s="422">
        <f>ROUND(H42/12,2)</f>
        <v>21283.67</v>
      </c>
      <c r="I43" s="419">
        <f>I42/12</f>
        <v>19677.416666666668</v>
      </c>
      <c r="J43" s="404">
        <f>ROUND(J42/12,2)</f>
        <v>21708.83</v>
      </c>
      <c r="K43" s="415">
        <f>K42/12</f>
        <v>19944</v>
      </c>
      <c r="L43" s="422">
        <f>ROUND(L42/12,2)</f>
        <v>22002.92</v>
      </c>
      <c r="M43" s="427"/>
      <c r="N43" s="405"/>
      <c r="O43" s="407">
        <f>ROUND(O42/12,2)</f>
        <v>19226.29</v>
      </c>
    </row>
    <row r="44" spans="1:15" ht="16" thickBot="1">
      <c r="A44" s="2050"/>
      <c r="B44" s="387" t="s">
        <v>229</v>
      </c>
      <c r="C44" s="200">
        <f>C42/12</f>
        <v>18640.083333333332</v>
      </c>
      <c r="D44" s="201">
        <f>ROUND(D43/160.33,2)</f>
        <v>128.26</v>
      </c>
      <c r="E44" s="420"/>
      <c r="F44" s="201">
        <f t="shared" ref="F44:O44" si="13">ROUND(F43/160.33,2)</f>
        <v>130.91</v>
      </c>
      <c r="G44" s="201">
        <f t="shared" si="13"/>
        <v>120.33</v>
      </c>
      <c r="H44" s="201">
        <f t="shared" si="13"/>
        <v>132.75</v>
      </c>
      <c r="I44" s="201">
        <f t="shared" si="13"/>
        <v>122.73</v>
      </c>
      <c r="J44" s="201">
        <f t="shared" si="13"/>
        <v>135.4</v>
      </c>
      <c r="K44" s="201">
        <f t="shared" si="13"/>
        <v>124.39</v>
      </c>
      <c r="L44" s="201">
        <f t="shared" si="13"/>
        <v>137.24</v>
      </c>
      <c r="M44" s="201">
        <f t="shared" si="13"/>
        <v>0</v>
      </c>
      <c r="N44" s="201">
        <f t="shared" si="13"/>
        <v>0</v>
      </c>
      <c r="O44" s="201">
        <f t="shared" si="13"/>
        <v>119.92</v>
      </c>
    </row>
    <row r="45" spans="1:15">
      <c r="A45" s="2048">
        <v>14</v>
      </c>
      <c r="B45" s="385" t="s">
        <v>97</v>
      </c>
      <c r="C45" s="203">
        <v>227611</v>
      </c>
      <c r="D45" s="196">
        <f>ROUND((C45*(1+'Løntabel gældende fra'!$D$7%)),0)</f>
        <v>251109</v>
      </c>
      <c r="E45" s="204">
        <v>232351</v>
      </c>
      <c r="F45" s="205">
        <f>ROUND((E45*(1+'Løntabel gældende fra'!$D$7%)),0)</f>
        <v>256338</v>
      </c>
      <c r="G45" s="203">
        <v>235632</v>
      </c>
      <c r="H45" s="196">
        <f>ROUND((G45*(1+'Løntabel gældende fra'!$D$7%)),0)</f>
        <v>259958</v>
      </c>
      <c r="I45" s="204">
        <v>240371</v>
      </c>
      <c r="J45" s="205">
        <f>ROUND((I45*(1+'Løntabel gældende fra'!$D$7%)),0)</f>
        <v>265186</v>
      </c>
      <c r="K45" s="203">
        <v>243652</v>
      </c>
      <c r="L45" s="196">
        <f>ROUND((K45*(1+'Løntabel gældende fra'!$D$7%)),0)</f>
        <v>268806</v>
      </c>
      <c r="M45" s="428"/>
      <c r="N45" s="406">
        <v>212809.24</v>
      </c>
      <c r="O45" s="210">
        <f>ROUND(N45*(1+'Løntabel gældende fra'!$D$7%),2)</f>
        <v>234778.81</v>
      </c>
    </row>
    <row r="46" spans="1:15">
      <c r="A46" s="2049"/>
      <c r="B46" s="410" t="s">
        <v>235</v>
      </c>
      <c r="C46" s="415"/>
      <c r="D46" s="422">
        <f>ROUND(D45/12,2)</f>
        <v>20925.75</v>
      </c>
      <c r="E46" s="419">
        <f>E45/12</f>
        <v>19362.583333333332</v>
      </c>
      <c r="F46" s="404">
        <f>ROUND(F45/12,2)</f>
        <v>21361.5</v>
      </c>
      <c r="G46" s="415">
        <f>G45/12</f>
        <v>19636</v>
      </c>
      <c r="H46" s="422">
        <f>ROUND(H45/12,2)</f>
        <v>21663.17</v>
      </c>
      <c r="I46" s="419">
        <f>I45/12</f>
        <v>20030.916666666668</v>
      </c>
      <c r="J46" s="404">
        <f>ROUND(J45/12,2)</f>
        <v>22098.83</v>
      </c>
      <c r="K46" s="415">
        <f>K45/12</f>
        <v>20304.333333333332</v>
      </c>
      <c r="L46" s="422">
        <f>ROUND(L45/12,2)</f>
        <v>22400.5</v>
      </c>
      <c r="M46" s="427"/>
      <c r="N46" s="405"/>
      <c r="O46" s="407">
        <f>ROUND(O45/12,2)</f>
        <v>19564.900000000001</v>
      </c>
    </row>
    <row r="47" spans="1:15" ht="16" thickBot="1">
      <c r="A47" s="2050"/>
      <c r="B47" s="387" t="s">
        <v>229</v>
      </c>
      <c r="C47" s="200">
        <f>C45/12</f>
        <v>18967.583333333332</v>
      </c>
      <c r="D47" s="201">
        <f>ROUND(D46/160.33,2)</f>
        <v>130.52000000000001</v>
      </c>
      <c r="E47" s="420"/>
      <c r="F47" s="201">
        <f t="shared" ref="F47:O47" si="14">ROUND(F46/160.33,2)</f>
        <v>133.22999999999999</v>
      </c>
      <c r="G47" s="201">
        <f t="shared" si="14"/>
        <v>122.47</v>
      </c>
      <c r="H47" s="201">
        <f t="shared" si="14"/>
        <v>135.12</v>
      </c>
      <c r="I47" s="201">
        <f t="shared" si="14"/>
        <v>124.94</v>
      </c>
      <c r="J47" s="201">
        <f t="shared" si="14"/>
        <v>137.83000000000001</v>
      </c>
      <c r="K47" s="201">
        <f t="shared" si="14"/>
        <v>126.64</v>
      </c>
      <c r="L47" s="201">
        <f t="shared" si="14"/>
        <v>139.71</v>
      </c>
      <c r="M47" s="201">
        <f t="shared" si="14"/>
        <v>0</v>
      </c>
      <c r="N47" s="201">
        <f t="shared" si="14"/>
        <v>0</v>
      </c>
      <c r="O47" s="201">
        <f t="shared" si="14"/>
        <v>122.03</v>
      </c>
    </row>
    <row r="48" spans="1:15">
      <c r="A48" s="2048">
        <v>15</v>
      </c>
      <c r="B48" s="385" t="s">
        <v>97</v>
      </c>
      <c r="C48" s="203">
        <v>231649</v>
      </c>
      <c r="D48" s="196">
        <f>ROUND((C48*(1+'Løntabel gældende fra'!$D$7%)),0)</f>
        <v>255564</v>
      </c>
      <c r="E48" s="204">
        <v>236507</v>
      </c>
      <c r="F48" s="205">
        <f>ROUND((E48*(1+'Løntabel gældende fra'!$D$7%)),0)</f>
        <v>260923</v>
      </c>
      <c r="G48" s="203">
        <v>239870</v>
      </c>
      <c r="H48" s="196">
        <f>ROUND((G48*(1+'Løntabel gældende fra'!$D$7%)),0)</f>
        <v>264633</v>
      </c>
      <c r="I48" s="204">
        <v>244730</v>
      </c>
      <c r="J48" s="205">
        <f>ROUND((I48*(1+'Løntabel gældende fra'!$D$7%)),0)</f>
        <v>269995</v>
      </c>
      <c r="K48" s="203">
        <v>248094</v>
      </c>
      <c r="L48" s="196">
        <f>ROUND((K48*(1+'Løntabel gældende fra'!$D$7%)),0)</f>
        <v>273706</v>
      </c>
      <c r="M48" s="428"/>
      <c r="N48" s="406">
        <v>216591.65</v>
      </c>
      <c r="O48" s="210">
        <f>ROUND(N48*(1+'Løntabel gældende fra'!$D$7%),2)</f>
        <v>238951.71</v>
      </c>
    </row>
    <row r="49" spans="1:15">
      <c r="A49" s="2049"/>
      <c r="B49" s="410" t="s">
        <v>98</v>
      </c>
      <c r="C49" s="415"/>
      <c r="D49" s="422">
        <f>ROUND(D48/12,2)</f>
        <v>21297</v>
      </c>
      <c r="E49" s="419">
        <f>E48/12</f>
        <v>19708.916666666668</v>
      </c>
      <c r="F49" s="404">
        <f>ROUND(F48/12,2)</f>
        <v>21743.58</v>
      </c>
      <c r="G49" s="415">
        <f>G48/12</f>
        <v>19989.166666666668</v>
      </c>
      <c r="H49" s="422">
        <f>ROUND(H48/12,2)</f>
        <v>22052.75</v>
      </c>
      <c r="I49" s="419">
        <f>I48/12</f>
        <v>20394.166666666668</v>
      </c>
      <c r="J49" s="404">
        <f>ROUND(J48/12,2)</f>
        <v>22499.58</v>
      </c>
      <c r="K49" s="415">
        <f>K48/12</f>
        <v>20674.5</v>
      </c>
      <c r="L49" s="422">
        <f>ROUND(L48/12,2)</f>
        <v>22808.83</v>
      </c>
      <c r="M49" s="427"/>
      <c r="N49" s="405"/>
      <c r="O49" s="407">
        <f>ROUND(O48/12,2)</f>
        <v>19912.64</v>
      </c>
    </row>
    <row r="50" spans="1:15" ht="16" thickBot="1">
      <c r="A50" s="2050"/>
      <c r="B50" s="387" t="s">
        <v>229</v>
      </c>
      <c r="C50" s="200">
        <f>C48/12</f>
        <v>19304.083333333332</v>
      </c>
      <c r="D50" s="201">
        <f>ROUND(D49/160.33,2)</f>
        <v>132.83000000000001</v>
      </c>
      <c r="E50" s="420"/>
      <c r="F50" s="201">
        <f t="shared" ref="F50:O50" si="15">ROUND(F49/160.33,2)</f>
        <v>135.62</v>
      </c>
      <c r="G50" s="201">
        <f t="shared" si="15"/>
        <v>124.68</v>
      </c>
      <c r="H50" s="201">
        <f t="shared" si="15"/>
        <v>137.55000000000001</v>
      </c>
      <c r="I50" s="201">
        <f t="shared" si="15"/>
        <v>127.2</v>
      </c>
      <c r="J50" s="201">
        <f t="shared" si="15"/>
        <v>140.33000000000001</v>
      </c>
      <c r="K50" s="201">
        <f t="shared" si="15"/>
        <v>128.94999999999999</v>
      </c>
      <c r="L50" s="201">
        <f t="shared" si="15"/>
        <v>142.26</v>
      </c>
      <c r="M50" s="201">
        <f t="shared" si="15"/>
        <v>0</v>
      </c>
      <c r="N50" s="201">
        <f t="shared" si="15"/>
        <v>0</v>
      </c>
      <c r="O50" s="201">
        <f t="shared" si="15"/>
        <v>124.2</v>
      </c>
    </row>
    <row r="51" spans="1:15">
      <c r="A51" s="2048">
        <v>16</v>
      </c>
      <c r="B51" s="385" t="s">
        <v>97</v>
      </c>
      <c r="C51" s="203">
        <v>234743</v>
      </c>
      <c r="D51" s="196">
        <f>ROUND((C51*(1+'Løntabel gældende fra'!$D$7%)),0)</f>
        <v>258977</v>
      </c>
      <c r="E51" s="204">
        <v>239725</v>
      </c>
      <c r="F51" s="205">
        <f>ROUND((E51*(1+'Løntabel gældende fra'!$D$7%)),0)</f>
        <v>264473</v>
      </c>
      <c r="G51" s="203">
        <v>243175</v>
      </c>
      <c r="H51" s="196">
        <f>ROUND((G51*(1+'Løntabel gældende fra'!$D$7%)),0)</f>
        <v>268279</v>
      </c>
      <c r="I51" s="204">
        <v>248156</v>
      </c>
      <c r="J51" s="205">
        <f>ROUND((I51*(1+'Løntabel gældende fra'!$D$7%)),0)</f>
        <v>273775</v>
      </c>
      <c r="K51" s="203">
        <v>251606</v>
      </c>
      <c r="L51" s="196">
        <f>ROUND((K51*(1+'Løntabel gældende fra'!$D$7%)),0)</f>
        <v>277581</v>
      </c>
      <c r="M51" s="428"/>
      <c r="N51" s="406">
        <v>220480.52</v>
      </c>
      <c r="O51" s="210">
        <f>ROUND(N51*(1+'Løntabel gældende fra'!$D$7%),2)</f>
        <v>243242.05</v>
      </c>
    </row>
    <row r="52" spans="1:15">
      <c r="A52" s="2049"/>
      <c r="B52" s="410" t="s">
        <v>235</v>
      </c>
      <c r="C52" s="415"/>
      <c r="D52" s="422">
        <f>ROUND(D51/12,2)</f>
        <v>21581.42</v>
      </c>
      <c r="E52" s="419">
        <f>E51/12</f>
        <v>19977.083333333332</v>
      </c>
      <c r="F52" s="404">
        <f>ROUND(F51/12,2)</f>
        <v>22039.42</v>
      </c>
      <c r="G52" s="415">
        <f>G51/12</f>
        <v>20264.583333333332</v>
      </c>
      <c r="H52" s="422">
        <f>ROUND(H51/12,2)</f>
        <v>22356.58</v>
      </c>
      <c r="I52" s="419">
        <f>I51/12</f>
        <v>20679.666666666668</v>
      </c>
      <c r="J52" s="404">
        <f>ROUND(J51/12,2)</f>
        <v>22814.58</v>
      </c>
      <c r="K52" s="415">
        <f>K51/12</f>
        <v>20967.166666666668</v>
      </c>
      <c r="L52" s="422">
        <f>ROUND(L51/12,2)</f>
        <v>23131.75</v>
      </c>
      <c r="M52" s="427"/>
      <c r="N52" s="405"/>
      <c r="O52" s="407">
        <f>ROUND(O51/12,2)</f>
        <v>20270.169999999998</v>
      </c>
    </row>
    <row r="53" spans="1:15" ht="16" thickBot="1">
      <c r="A53" s="2050"/>
      <c r="B53" s="387" t="s">
        <v>229</v>
      </c>
      <c r="C53" s="200">
        <f>C51/12</f>
        <v>19561.916666666668</v>
      </c>
      <c r="D53" s="201">
        <f>ROUND(D52/160.33,2)</f>
        <v>134.61000000000001</v>
      </c>
      <c r="E53" s="420"/>
      <c r="F53" s="201">
        <f t="shared" ref="F53:O53" si="16">ROUND(F52/160.33,2)</f>
        <v>137.46</v>
      </c>
      <c r="G53" s="201">
        <f t="shared" si="16"/>
        <v>126.39</v>
      </c>
      <c r="H53" s="201">
        <f t="shared" si="16"/>
        <v>139.44</v>
      </c>
      <c r="I53" s="201">
        <f t="shared" si="16"/>
        <v>128.97999999999999</v>
      </c>
      <c r="J53" s="201">
        <f t="shared" si="16"/>
        <v>142.30000000000001</v>
      </c>
      <c r="K53" s="201">
        <f t="shared" si="16"/>
        <v>130.78</v>
      </c>
      <c r="L53" s="201">
        <f t="shared" si="16"/>
        <v>144.28</v>
      </c>
      <c r="M53" s="201">
        <f t="shared" si="16"/>
        <v>0</v>
      </c>
      <c r="N53" s="201">
        <f t="shared" si="16"/>
        <v>0</v>
      </c>
      <c r="O53" s="201">
        <f t="shared" si="16"/>
        <v>126.43</v>
      </c>
    </row>
    <row r="54" spans="1:15">
      <c r="A54" s="2051">
        <v>17</v>
      </c>
      <c r="B54" s="194" t="s">
        <v>97</v>
      </c>
      <c r="C54" s="195">
        <v>239005</v>
      </c>
      <c r="D54" s="199">
        <f>ROUND((C54*(1+'Løntabel gældende fra'!$D$7%)),0)</f>
        <v>263679</v>
      </c>
      <c r="E54" s="197">
        <v>244114</v>
      </c>
      <c r="F54" s="198">
        <f>ROUND((E54*(1+'Løntabel gældende fra'!$D$7%)),0)</f>
        <v>269315</v>
      </c>
      <c r="G54" s="195">
        <v>247651</v>
      </c>
      <c r="H54" s="199">
        <f>ROUND((G54*(1+'Løntabel gældende fra'!$D$7%)),0)</f>
        <v>273217</v>
      </c>
      <c r="I54" s="197">
        <v>252759</v>
      </c>
      <c r="J54" s="198">
        <f>ROUND((I54*(1+'Løntabel gældende fra'!$D$7%)),0)</f>
        <v>278853</v>
      </c>
      <c r="K54" s="195">
        <v>256294</v>
      </c>
      <c r="L54" s="199">
        <f>ROUND((K54*(1+'Løntabel gældende fra'!$D$7%)),0)</f>
        <v>282753</v>
      </c>
      <c r="M54" s="429"/>
      <c r="N54" s="408">
        <v>224474.06</v>
      </c>
      <c r="O54" s="409">
        <f>ROUND(N54*(1+'Løntabel gældende fra'!$D$7%),2)</f>
        <v>247647.86</v>
      </c>
    </row>
    <row r="55" spans="1:15">
      <c r="A55" s="2049"/>
      <c r="B55" s="410" t="s">
        <v>235</v>
      </c>
      <c r="C55" s="415"/>
      <c r="D55" s="422">
        <f>ROUND(D54/12,2)</f>
        <v>21973.25</v>
      </c>
      <c r="E55" s="419">
        <f>E54/12</f>
        <v>20342.833333333332</v>
      </c>
      <c r="F55" s="404">
        <f>ROUND(F54/12,2)</f>
        <v>22442.92</v>
      </c>
      <c r="G55" s="415">
        <f>G54/12</f>
        <v>20637.583333333332</v>
      </c>
      <c r="H55" s="422">
        <f>ROUND(H54/12,2)</f>
        <v>22768.080000000002</v>
      </c>
      <c r="I55" s="419">
        <f>I54/12</f>
        <v>21063.25</v>
      </c>
      <c r="J55" s="404">
        <f>ROUND(J54/12,2)</f>
        <v>23237.75</v>
      </c>
      <c r="K55" s="415">
        <f>K54/12</f>
        <v>21357.833333333332</v>
      </c>
      <c r="L55" s="422">
        <f>ROUND(L54/12,2)</f>
        <v>23562.75</v>
      </c>
      <c r="M55" s="427"/>
      <c r="N55" s="405"/>
      <c r="O55" s="407">
        <f>ROUND(O54/12,2)</f>
        <v>20637.32</v>
      </c>
    </row>
    <row r="56" spans="1:15" ht="16" thickBot="1">
      <c r="A56" s="2052"/>
      <c r="B56" s="411" t="s">
        <v>229</v>
      </c>
      <c r="C56" s="418">
        <f>C54/12</f>
        <v>19917.083333333332</v>
      </c>
      <c r="D56" s="201">
        <f>ROUND(D55/160.33,2)</f>
        <v>137.05000000000001</v>
      </c>
      <c r="E56" s="421"/>
      <c r="F56" s="201">
        <f t="shared" ref="F56:O56" si="17">ROUND(F55/160.33,2)</f>
        <v>139.97999999999999</v>
      </c>
      <c r="G56" s="201">
        <f t="shared" si="17"/>
        <v>128.72</v>
      </c>
      <c r="H56" s="201">
        <f t="shared" si="17"/>
        <v>142.01</v>
      </c>
      <c r="I56" s="201">
        <f t="shared" si="17"/>
        <v>131.37</v>
      </c>
      <c r="J56" s="201">
        <f t="shared" si="17"/>
        <v>144.94</v>
      </c>
      <c r="K56" s="201">
        <f t="shared" si="17"/>
        <v>133.21</v>
      </c>
      <c r="L56" s="201">
        <f t="shared" si="17"/>
        <v>146.96</v>
      </c>
      <c r="M56" s="201">
        <f t="shared" si="17"/>
        <v>0</v>
      </c>
      <c r="N56" s="201">
        <f t="shared" si="17"/>
        <v>0</v>
      </c>
      <c r="O56" s="201">
        <f t="shared" si="17"/>
        <v>128.72</v>
      </c>
    </row>
    <row r="57" spans="1:15">
      <c r="A57" s="2048">
        <v>18</v>
      </c>
      <c r="B57" s="385" t="s">
        <v>97</v>
      </c>
      <c r="C57" s="203">
        <v>243387</v>
      </c>
      <c r="D57" s="196">
        <f>ROUND((C57*(1+'Løntabel gældende fra'!$D$7%)),0)</f>
        <v>268513</v>
      </c>
      <c r="E57" s="204">
        <v>248626</v>
      </c>
      <c r="F57" s="205">
        <f>ROUND((E57*(1+'Løntabel gældende fra'!$D$7%)),0)</f>
        <v>274293</v>
      </c>
      <c r="G57" s="203">
        <v>252252</v>
      </c>
      <c r="H57" s="196">
        <f>ROUND((G57*(1+'Løntabel gældende fra'!$D$7%)),0)</f>
        <v>278293</v>
      </c>
      <c r="I57" s="204">
        <v>257490</v>
      </c>
      <c r="J57" s="205">
        <f>ROUND((I57*(1+'Løntabel gældende fra'!$D$7%)),0)</f>
        <v>284072</v>
      </c>
      <c r="K57" s="203">
        <v>261115</v>
      </c>
      <c r="L57" s="196">
        <f>ROUND((K57*(1+'Løntabel gældende fra'!$D$7%)),0)</f>
        <v>288071</v>
      </c>
      <c r="M57" s="428"/>
      <c r="N57" s="406">
        <v>228579.5</v>
      </c>
      <c r="O57" s="210">
        <f>ROUND(N57*(1+'Løntabel gældende fra'!$D$7%),2)</f>
        <v>252177.13</v>
      </c>
    </row>
    <row r="58" spans="1:15">
      <c r="A58" s="2049"/>
      <c r="B58" s="410" t="s">
        <v>98</v>
      </c>
      <c r="C58" s="415"/>
      <c r="D58" s="422">
        <f>ROUND(D57/12,2)</f>
        <v>22376.080000000002</v>
      </c>
      <c r="E58" s="419">
        <f>E57/12</f>
        <v>20718.833333333332</v>
      </c>
      <c r="F58" s="404">
        <f>ROUND(F57/12,2)</f>
        <v>22857.75</v>
      </c>
      <c r="G58" s="415">
        <f>G57/12</f>
        <v>21021</v>
      </c>
      <c r="H58" s="422">
        <f>ROUND(H57/12,2)</f>
        <v>23191.08</v>
      </c>
      <c r="I58" s="419">
        <f>I57/12</f>
        <v>21457.5</v>
      </c>
      <c r="J58" s="404">
        <f>ROUND(J57/12,2)</f>
        <v>23672.67</v>
      </c>
      <c r="K58" s="415">
        <f>K57/12</f>
        <v>21759.583333333332</v>
      </c>
      <c r="L58" s="422">
        <f>ROUND(L57/12,2)</f>
        <v>24005.919999999998</v>
      </c>
      <c r="M58" s="427"/>
      <c r="N58" s="405"/>
      <c r="O58" s="407">
        <f>ROUND(O57/12,2)</f>
        <v>21014.76</v>
      </c>
    </row>
    <row r="59" spans="1:15" ht="16" thickBot="1">
      <c r="A59" s="2050"/>
      <c r="B59" s="387" t="s">
        <v>229</v>
      </c>
      <c r="C59" s="200">
        <f>C57/12</f>
        <v>20282.25</v>
      </c>
      <c r="D59" s="201">
        <f>ROUND(D58/160.33,2)</f>
        <v>139.56</v>
      </c>
      <c r="E59" s="420"/>
      <c r="F59" s="201">
        <f t="shared" ref="F59:O59" si="18">ROUND(F58/160.33,2)</f>
        <v>142.57</v>
      </c>
      <c r="G59" s="201">
        <f t="shared" si="18"/>
        <v>131.11000000000001</v>
      </c>
      <c r="H59" s="201">
        <f t="shared" si="18"/>
        <v>144.65</v>
      </c>
      <c r="I59" s="201">
        <f t="shared" si="18"/>
        <v>133.83000000000001</v>
      </c>
      <c r="J59" s="201">
        <f t="shared" si="18"/>
        <v>147.65</v>
      </c>
      <c r="K59" s="201">
        <f t="shared" si="18"/>
        <v>135.72</v>
      </c>
      <c r="L59" s="201">
        <f t="shared" si="18"/>
        <v>149.72999999999999</v>
      </c>
      <c r="M59" s="201">
        <f t="shared" si="18"/>
        <v>0</v>
      </c>
      <c r="N59" s="201">
        <f t="shared" si="18"/>
        <v>0</v>
      </c>
      <c r="O59" s="201">
        <f t="shared" si="18"/>
        <v>131.07</v>
      </c>
    </row>
    <row r="60" spans="1:15">
      <c r="A60" s="2051">
        <v>19</v>
      </c>
      <c r="B60" s="194" t="s">
        <v>97</v>
      </c>
      <c r="C60" s="195">
        <v>246657</v>
      </c>
      <c r="D60" s="199">
        <f>ROUND((C60*(1+'Løntabel gældende fra'!$D$7%)),0)</f>
        <v>272121</v>
      </c>
      <c r="E60" s="197">
        <v>252029</v>
      </c>
      <c r="F60" s="198">
        <f>ROUND((E60*(1+'Løntabel gældende fra'!$D$7%)),0)</f>
        <v>278047</v>
      </c>
      <c r="G60" s="195">
        <v>255746</v>
      </c>
      <c r="H60" s="199">
        <f>ROUND((G60*(1+'Løntabel gældende fra'!$D$7%)),0)</f>
        <v>282148</v>
      </c>
      <c r="I60" s="197">
        <v>261119</v>
      </c>
      <c r="J60" s="198">
        <f>ROUND((I60*(1+'Løntabel gældende fra'!$D$7%)),0)</f>
        <v>288076</v>
      </c>
      <c r="K60" s="195">
        <v>264839</v>
      </c>
      <c r="L60" s="199">
        <f>ROUND((K60*(1+'Løntabel gældende fra'!$D$7%)),0)</f>
        <v>292180</v>
      </c>
      <c r="M60" s="429"/>
      <c r="N60" s="408">
        <v>232796.81</v>
      </c>
      <c r="O60" s="409">
        <f>ROUND(N60*(1+'Løntabel gældende fra'!$D$7%),2)</f>
        <v>256829.82</v>
      </c>
    </row>
    <row r="61" spans="1:15">
      <c r="A61" s="2049"/>
      <c r="B61" s="410" t="s">
        <v>235</v>
      </c>
      <c r="C61" s="415"/>
      <c r="D61" s="422">
        <f>ROUND(D60/12,2)</f>
        <v>22676.75</v>
      </c>
      <c r="E61" s="419">
        <f>E60/12</f>
        <v>21002.416666666668</v>
      </c>
      <c r="F61" s="404">
        <f>ROUND(F60/12,2)</f>
        <v>23170.58</v>
      </c>
      <c r="G61" s="415">
        <f>G60/12</f>
        <v>21312.166666666668</v>
      </c>
      <c r="H61" s="422">
        <f>ROUND(H60/12,2)</f>
        <v>23512.33</v>
      </c>
      <c r="I61" s="419">
        <f>I60/12</f>
        <v>21759.916666666668</v>
      </c>
      <c r="J61" s="404">
        <f>ROUND(J60/12,2)</f>
        <v>24006.33</v>
      </c>
      <c r="K61" s="415">
        <f>K60/12</f>
        <v>22069.916666666668</v>
      </c>
      <c r="L61" s="422">
        <f>ROUND(L60/12,2)</f>
        <v>24348.33</v>
      </c>
      <c r="M61" s="427"/>
      <c r="N61" s="405"/>
      <c r="O61" s="407">
        <f>ROUND(O60/12,2)</f>
        <v>21402.49</v>
      </c>
    </row>
    <row r="62" spans="1:15" ht="16" thickBot="1">
      <c r="A62" s="2052"/>
      <c r="B62" s="411" t="s">
        <v>229</v>
      </c>
      <c r="C62" s="418">
        <f>C60/12</f>
        <v>20554.75</v>
      </c>
      <c r="D62" s="201">
        <f>ROUND(D61/160.33,2)</f>
        <v>141.44</v>
      </c>
      <c r="E62" s="421"/>
      <c r="F62" s="201">
        <f t="shared" ref="F62:O62" si="19">ROUND(F61/160.33,2)</f>
        <v>144.52000000000001</v>
      </c>
      <c r="G62" s="201">
        <f t="shared" si="19"/>
        <v>132.93</v>
      </c>
      <c r="H62" s="201">
        <f t="shared" si="19"/>
        <v>146.65</v>
      </c>
      <c r="I62" s="201">
        <f t="shared" si="19"/>
        <v>135.72</v>
      </c>
      <c r="J62" s="201">
        <f t="shared" si="19"/>
        <v>149.72999999999999</v>
      </c>
      <c r="K62" s="201">
        <f t="shared" si="19"/>
        <v>137.65</v>
      </c>
      <c r="L62" s="201">
        <f t="shared" si="19"/>
        <v>151.86000000000001</v>
      </c>
      <c r="M62" s="201">
        <f t="shared" si="19"/>
        <v>0</v>
      </c>
      <c r="N62" s="201">
        <f t="shared" si="19"/>
        <v>0</v>
      </c>
      <c r="O62" s="201">
        <f t="shared" si="19"/>
        <v>133.49</v>
      </c>
    </row>
    <row r="63" spans="1:15">
      <c r="A63" s="2048">
        <v>20</v>
      </c>
      <c r="B63" s="385" t="s">
        <v>97</v>
      </c>
      <c r="C63" s="203">
        <v>250053</v>
      </c>
      <c r="D63" s="196">
        <f>ROUND((C63*(1+'Løntabel gældende fra'!$D$7%)),0)</f>
        <v>275867</v>
      </c>
      <c r="E63" s="204">
        <v>255560</v>
      </c>
      <c r="F63" s="205">
        <f>ROUND((E63*(1+'Løntabel gældende fra'!$D$7%)),0)</f>
        <v>281943</v>
      </c>
      <c r="G63" s="203">
        <v>259374</v>
      </c>
      <c r="H63" s="196">
        <f>ROUND((G63*(1+'Løntabel gældende fra'!$D$7%)),0)</f>
        <v>286151</v>
      </c>
      <c r="I63" s="204">
        <v>264882</v>
      </c>
      <c r="J63" s="205">
        <f>ROUND((I63*(1+'Løntabel gældende fra'!$D$7%)),0)</f>
        <v>292227</v>
      </c>
      <c r="K63" s="203">
        <v>268694</v>
      </c>
      <c r="L63" s="196">
        <f>ROUND((K63*(1+'Løntabel gældende fra'!$D$7%)),0)</f>
        <v>296433</v>
      </c>
      <c r="M63" s="428"/>
      <c r="N63" s="406">
        <v>237129.61</v>
      </c>
      <c r="O63" s="210">
        <f>ROUND(N63*(1+'Løntabel gældende fra'!$D$7%),2)</f>
        <v>261609.92</v>
      </c>
    </row>
    <row r="64" spans="1:15">
      <c r="A64" s="2049"/>
      <c r="B64" s="410" t="s">
        <v>98</v>
      </c>
      <c r="C64" s="415"/>
      <c r="D64" s="422">
        <f>ROUND(D63/12,2)</f>
        <v>22988.92</v>
      </c>
      <c r="E64" s="419">
        <f>E63/12</f>
        <v>21296.666666666668</v>
      </c>
      <c r="F64" s="404">
        <f>ROUND(F63/12,2)</f>
        <v>23495.25</v>
      </c>
      <c r="G64" s="415">
        <f>G63/12</f>
        <v>21614.5</v>
      </c>
      <c r="H64" s="422">
        <f>ROUND(H63/12,2)</f>
        <v>23845.919999999998</v>
      </c>
      <c r="I64" s="419">
        <f>I63/12</f>
        <v>22073.5</v>
      </c>
      <c r="J64" s="404">
        <f>ROUND(J63/12,2)</f>
        <v>24352.25</v>
      </c>
      <c r="K64" s="415">
        <f>K63/12</f>
        <v>22391.166666666668</v>
      </c>
      <c r="L64" s="422">
        <f>ROUND(L63/12,2)</f>
        <v>24702.75</v>
      </c>
      <c r="M64" s="427"/>
      <c r="N64" s="405"/>
      <c r="O64" s="407">
        <f>ROUND(O63/12,2)</f>
        <v>21800.83</v>
      </c>
    </row>
    <row r="65" spans="1:15" ht="16" thickBot="1">
      <c r="A65" s="2050"/>
      <c r="B65" s="387" t="s">
        <v>229</v>
      </c>
      <c r="C65" s="200">
        <f>C63/12</f>
        <v>20837.75</v>
      </c>
      <c r="D65" s="201">
        <f>ROUND(D64/160.33,2)</f>
        <v>143.38999999999999</v>
      </c>
      <c r="E65" s="420"/>
      <c r="F65" s="201">
        <f t="shared" ref="F65:O65" si="20">ROUND(F64/160.33,2)</f>
        <v>146.54</v>
      </c>
      <c r="G65" s="201">
        <f t="shared" si="20"/>
        <v>134.81</v>
      </c>
      <c r="H65" s="201">
        <f t="shared" si="20"/>
        <v>148.72999999999999</v>
      </c>
      <c r="I65" s="201">
        <f t="shared" si="20"/>
        <v>137.68</v>
      </c>
      <c r="J65" s="201">
        <f t="shared" si="20"/>
        <v>151.88999999999999</v>
      </c>
      <c r="K65" s="201">
        <f t="shared" si="20"/>
        <v>139.66</v>
      </c>
      <c r="L65" s="201">
        <f t="shared" si="20"/>
        <v>154.07</v>
      </c>
      <c r="M65" s="201">
        <f t="shared" si="20"/>
        <v>0</v>
      </c>
      <c r="N65" s="201">
        <f t="shared" si="20"/>
        <v>0</v>
      </c>
      <c r="O65" s="201">
        <f t="shared" si="20"/>
        <v>135.97</v>
      </c>
    </row>
    <row r="66" spans="1:15">
      <c r="A66" s="2051">
        <v>21</v>
      </c>
      <c r="B66" s="194" t="s">
        <v>97</v>
      </c>
      <c r="C66" s="195">
        <v>254192</v>
      </c>
      <c r="D66" s="199">
        <f>ROUND((C66*(1+'Løntabel gældende fra'!$D$7%)),0)</f>
        <v>280434</v>
      </c>
      <c r="E66" s="197">
        <v>259841</v>
      </c>
      <c r="F66" s="198">
        <f>ROUND((E66*(1+'Løntabel gældende fra'!$D$7%)),0)</f>
        <v>286666</v>
      </c>
      <c r="G66" s="195">
        <v>263752</v>
      </c>
      <c r="H66" s="199">
        <f>ROUND((G66*(1+'Løntabel gældende fra'!$D$7%)),0)</f>
        <v>290981</v>
      </c>
      <c r="I66" s="197">
        <v>269401</v>
      </c>
      <c r="J66" s="198">
        <f>ROUND((I66*(1+'Løntabel gældende fra'!$D$7%)),0)</f>
        <v>297213</v>
      </c>
      <c r="K66" s="195">
        <v>273312</v>
      </c>
      <c r="L66" s="199">
        <f>ROUND((K66*(1+'Løntabel gældende fra'!$D$7%)),0)</f>
        <v>301528</v>
      </c>
      <c r="M66" s="429"/>
      <c r="N66" s="408">
        <v>241583.32</v>
      </c>
      <c r="O66" s="409">
        <f>ROUND(N66*(1+'Løntabel gældende fra'!$D$7%),2)</f>
        <v>266523.42</v>
      </c>
    </row>
    <row r="67" spans="1:15">
      <c r="A67" s="2049"/>
      <c r="B67" s="410" t="s">
        <v>235</v>
      </c>
      <c r="C67" s="415"/>
      <c r="D67" s="422">
        <f>ROUND(D66/12,2)</f>
        <v>23369.5</v>
      </c>
      <c r="E67" s="419">
        <f>E66/12</f>
        <v>21653.416666666668</v>
      </c>
      <c r="F67" s="404">
        <f>ROUND(F66/12,2)</f>
        <v>23888.83</v>
      </c>
      <c r="G67" s="415">
        <f>G66/12</f>
        <v>21979.333333333332</v>
      </c>
      <c r="H67" s="422">
        <f>ROUND(H66/12,2)</f>
        <v>24248.42</v>
      </c>
      <c r="I67" s="419">
        <f>I66/12</f>
        <v>22450.083333333332</v>
      </c>
      <c r="J67" s="404">
        <f>ROUND(J66/12,2)</f>
        <v>24767.75</v>
      </c>
      <c r="K67" s="415">
        <f>K66/12</f>
        <v>22776</v>
      </c>
      <c r="L67" s="422">
        <f>ROUND(L66/12,2)</f>
        <v>25127.33</v>
      </c>
      <c r="M67" s="427"/>
      <c r="N67" s="405"/>
      <c r="O67" s="407">
        <f>ROUND(O66/12,2)</f>
        <v>22210.29</v>
      </c>
    </row>
    <row r="68" spans="1:15" ht="16" thickBot="1">
      <c r="A68" s="2052"/>
      <c r="B68" s="411" t="s">
        <v>229</v>
      </c>
      <c r="C68" s="418">
        <f>C66/12</f>
        <v>21182.666666666668</v>
      </c>
      <c r="D68" s="201">
        <f>ROUND(D67/160.33,2)</f>
        <v>145.76</v>
      </c>
      <c r="E68" s="421"/>
      <c r="F68" s="201">
        <f t="shared" ref="F68:O68" si="21">ROUND(F67/160.33,2)</f>
        <v>149</v>
      </c>
      <c r="G68" s="201">
        <f t="shared" si="21"/>
        <v>137.09</v>
      </c>
      <c r="H68" s="201">
        <f t="shared" si="21"/>
        <v>151.24</v>
      </c>
      <c r="I68" s="201">
        <f t="shared" si="21"/>
        <v>140.02000000000001</v>
      </c>
      <c r="J68" s="201">
        <f t="shared" si="21"/>
        <v>154.47999999999999</v>
      </c>
      <c r="K68" s="201">
        <f t="shared" si="21"/>
        <v>142.06</v>
      </c>
      <c r="L68" s="201">
        <f t="shared" si="21"/>
        <v>156.72</v>
      </c>
      <c r="M68" s="201">
        <f t="shared" si="21"/>
        <v>0</v>
      </c>
      <c r="N68" s="201">
        <f t="shared" si="21"/>
        <v>0</v>
      </c>
      <c r="O68" s="201">
        <f t="shared" si="21"/>
        <v>138.53</v>
      </c>
    </row>
    <row r="69" spans="1:15">
      <c r="A69" s="2048">
        <v>22</v>
      </c>
      <c r="B69" s="207" t="s">
        <v>97</v>
      </c>
      <c r="C69" s="203">
        <v>258027</v>
      </c>
      <c r="D69" s="196">
        <f>ROUND((C69*(1+'Løntabel gældende fra'!$D$7%)),0)</f>
        <v>284665</v>
      </c>
      <c r="E69" s="204">
        <v>263676</v>
      </c>
      <c r="F69" s="205">
        <f>ROUND((E69*(1+'Løntabel gældende fra'!$D$7%)),0)</f>
        <v>290897</v>
      </c>
      <c r="G69" s="203">
        <v>267587</v>
      </c>
      <c r="H69" s="196">
        <f>ROUND((G69*(1+'Løntabel gældende fra'!$D$7%)),0)</f>
        <v>295212</v>
      </c>
      <c r="I69" s="204">
        <v>273236</v>
      </c>
      <c r="J69" s="205">
        <f>ROUND((I69*(1+'Løntabel gældende fra'!$D$7%)),0)</f>
        <v>301444</v>
      </c>
      <c r="K69" s="203">
        <v>277147</v>
      </c>
      <c r="L69" s="196">
        <f>ROUND((K69*(1+'Løntabel gældende fra'!$D$7%)),0)</f>
        <v>305759</v>
      </c>
      <c r="M69" s="428"/>
      <c r="N69" s="406">
        <v>246033.33</v>
      </c>
      <c r="O69" s="210">
        <f>ROUND(N69*(1+'Løntabel gældende fra'!$D$7%),2)</f>
        <v>271432.83</v>
      </c>
    </row>
    <row r="70" spans="1:15">
      <c r="A70" s="2049"/>
      <c r="B70" s="412" t="s">
        <v>235</v>
      </c>
      <c r="C70" s="415"/>
      <c r="D70" s="422">
        <f>ROUND(D69/12,2)</f>
        <v>23722.080000000002</v>
      </c>
      <c r="E70" s="419">
        <f>E69/12</f>
        <v>21973</v>
      </c>
      <c r="F70" s="404">
        <f>ROUND(F69/12,2)</f>
        <v>24241.42</v>
      </c>
      <c r="G70" s="415">
        <f>G69/12</f>
        <v>22298.916666666668</v>
      </c>
      <c r="H70" s="422">
        <f>ROUND(H69/12,2)</f>
        <v>24601</v>
      </c>
      <c r="I70" s="419">
        <f>I69/12</f>
        <v>22769.666666666668</v>
      </c>
      <c r="J70" s="404">
        <f>ROUND(J69/12,2)</f>
        <v>25120.33</v>
      </c>
      <c r="K70" s="415">
        <f>K69/12</f>
        <v>23095.583333333332</v>
      </c>
      <c r="L70" s="422">
        <f>ROUND(L69/12,2)</f>
        <v>25479.919999999998</v>
      </c>
      <c r="M70" s="427"/>
      <c r="N70" s="405"/>
      <c r="O70" s="407">
        <f>ROUND(O69/12,2)</f>
        <v>22619.4</v>
      </c>
    </row>
    <row r="71" spans="1:15" ht="16" thickBot="1">
      <c r="A71" s="2050"/>
      <c r="B71" s="413" t="s">
        <v>229</v>
      </c>
      <c r="C71" s="200">
        <v>262137</v>
      </c>
      <c r="D71" s="201">
        <f>ROUND(D70/160.33,2)</f>
        <v>147.96</v>
      </c>
      <c r="E71" s="420"/>
      <c r="F71" s="201">
        <f t="shared" ref="F71:O71" si="22">ROUND(F70/160.33,2)</f>
        <v>151.19999999999999</v>
      </c>
      <c r="G71" s="201">
        <f t="shared" si="22"/>
        <v>139.08000000000001</v>
      </c>
      <c r="H71" s="201">
        <f t="shared" si="22"/>
        <v>153.44</v>
      </c>
      <c r="I71" s="201">
        <f t="shared" si="22"/>
        <v>142.02000000000001</v>
      </c>
      <c r="J71" s="201">
        <f t="shared" si="22"/>
        <v>156.68</v>
      </c>
      <c r="K71" s="201">
        <f t="shared" si="22"/>
        <v>144.05000000000001</v>
      </c>
      <c r="L71" s="201">
        <f t="shared" si="22"/>
        <v>158.91999999999999</v>
      </c>
      <c r="M71" s="201">
        <f t="shared" si="22"/>
        <v>0</v>
      </c>
      <c r="N71" s="201">
        <f t="shared" si="22"/>
        <v>0</v>
      </c>
      <c r="O71" s="201">
        <f t="shared" si="22"/>
        <v>141.08000000000001</v>
      </c>
    </row>
    <row r="72" spans="1:15">
      <c r="A72" s="2051">
        <v>23</v>
      </c>
      <c r="B72" s="206" t="s">
        <v>97</v>
      </c>
      <c r="C72" s="195">
        <v>262137</v>
      </c>
      <c r="D72" s="199">
        <f>ROUND((C72*(1+'Løntabel gældende fra'!$D$7%)),0)</f>
        <v>289199</v>
      </c>
      <c r="E72" s="197">
        <v>267629</v>
      </c>
      <c r="F72" s="198">
        <f>ROUND((E72*(1+'Løntabel gældende fra'!$D$7%)),0)</f>
        <v>295258</v>
      </c>
      <c r="G72" s="195">
        <v>271434</v>
      </c>
      <c r="H72" s="199">
        <f>ROUND((G72*(1+'Løntabel gældende fra'!$D$7%)),0)</f>
        <v>299456</v>
      </c>
      <c r="I72" s="197">
        <v>276928</v>
      </c>
      <c r="J72" s="198">
        <f>ROUND((I72*(1+'Løntabel gældende fra'!$D$7%)),0)</f>
        <v>305517</v>
      </c>
      <c r="K72" s="195">
        <v>280730</v>
      </c>
      <c r="L72" s="199">
        <f>ROUND((K72*(1+'Løntabel gældende fra'!$D$7%)),0)</f>
        <v>309711</v>
      </c>
      <c r="M72" s="429"/>
      <c r="N72" s="408">
        <v>250472.55</v>
      </c>
      <c r="O72" s="409">
        <f>ROUND(N72*(1+'Løntabel gældende fra'!$D$7%),2)</f>
        <v>276330.33</v>
      </c>
    </row>
    <row r="73" spans="1:15">
      <c r="A73" s="2049"/>
      <c r="B73" s="412" t="s">
        <v>235</v>
      </c>
      <c r="C73" s="415"/>
      <c r="D73" s="422">
        <f>ROUND(D72/12,2)</f>
        <v>24099.919999999998</v>
      </c>
      <c r="E73" s="419">
        <f>E72/12</f>
        <v>22302.416666666668</v>
      </c>
      <c r="F73" s="404">
        <f>ROUND(F72/12,2)</f>
        <v>24604.83</v>
      </c>
      <c r="G73" s="415">
        <f>G72/12</f>
        <v>22619.5</v>
      </c>
      <c r="H73" s="422">
        <f>ROUND(H72/12,2)</f>
        <v>24954.67</v>
      </c>
      <c r="I73" s="419">
        <f>I72/12</f>
        <v>23077.333333333332</v>
      </c>
      <c r="J73" s="404">
        <f>ROUND(J72/12,2)</f>
        <v>25459.75</v>
      </c>
      <c r="K73" s="415">
        <f>K72/12</f>
        <v>23394.166666666668</v>
      </c>
      <c r="L73" s="422">
        <f>ROUND(L72/12,2)</f>
        <v>25809.25</v>
      </c>
      <c r="M73" s="427"/>
      <c r="N73" s="405"/>
      <c r="O73" s="407">
        <f>ROUND(O72/12,2)</f>
        <v>23027.53</v>
      </c>
    </row>
    <row r="74" spans="1:15" ht="16" thickBot="1">
      <c r="A74" s="2052"/>
      <c r="B74" s="414" t="s">
        <v>229</v>
      </c>
      <c r="C74" s="418">
        <f>C72/12</f>
        <v>21844.75</v>
      </c>
      <c r="D74" s="201">
        <f>ROUND(D73/160.33,2)</f>
        <v>150.31</v>
      </c>
      <c r="E74" s="421"/>
      <c r="F74" s="201">
        <f t="shared" ref="F74:O74" si="23">ROUND(F73/160.33,2)</f>
        <v>153.46</v>
      </c>
      <c r="G74" s="201">
        <f t="shared" si="23"/>
        <v>141.08000000000001</v>
      </c>
      <c r="H74" s="201">
        <f t="shared" si="23"/>
        <v>155.65</v>
      </c>
      <c r="I74" s="201">
        <f t="shared" si="23"/>
        <v>143.94</v>
      </c>
      <c r="J74" s="201">
        <f t="shared" si="23"/>
        <v>158.80000000000001</v>
      </c>
      <c r="K74" s="201">
        <f t="shared" si="23"/>
        <v>145.91</v>
      </c>
      <c r="L74" s="201">
        <f t="shared" si="23"/>
        <v>160.97999999999999</v>
      </c>
      <c r="M74" s="201">
        <f t="shared" si="23"/>
        <v>0</v>
      </c>
      <c r="N74" s="201">
        <f t="shared" si="23"/>
        <v>0</v>
      </c>
      <c r="O74" s="201">
        <f t="shared" si="23"/>
        <v>143.63</v>
      </c>
    </row>
    <row r="75" spans="1:15">
      <c r="A75" s="2048">
        <v>24</v>
      </c>
      <c r="B75" s="207" t="s">
        <v>97</v>
      </c>
      <c r="C75" s="203">
        <v>266372</v>
      </c>
      <c r="D75" s="196">
        <f>ROUND((C75*(1+'Løntabel gældende fra'!$D$7%)),0)</f>
        <v>293871</v>
      </c>
      <c r="E75" s="204">
        <v>271710</v>
      </c>
      <c r="F75" s="205">
        <f>ROUND((E75*(1+'Løntabel gældende fra'!$D$7%)),0)</f>
        <v>299760</v>
      </c>
      <c r="G75" s="203">
        <v>275406</v>
      </c>
      <c r="H75" s="196">
        <f>ROUND((G75*(1+'Løntabel gældende fra'!$D$7%)),0)</f>
        <v>303838</v>
      </c>
      <c r="I75" s="204">
        <v>280745</v>
      </c>
      <c r="J75" s="205">
        <f>ROUND((I75*(1+'Løntabel gældende fra'!$D$7%)),0)</f>
        <v>309728</v>
      </c>
      <c r="K75" s="203">
        <v>284441</v>
      </c>
      <c r="L75" s="196">
        <f>ROUND((K75*(1+'Løntabel gældende fra'!$D$7%)),0)</f>
        <v>313806</v>
      </c>
      <c r="M75" s="428"/>
      <c r="N75" s="406">
        <v>255037.97</v>
      </c>
      <c r="O75" s="210">
        <f>ROUND(N75*(1+'Løntabel gældende fra'!$D$7%),2)</f>
        <v>281367.07</v>
      </c>
    </row>
    <row r="76" spans="1:15">
      <c r="A76" s="2049"/>
      <c r="B76" s="412" t="s">
        <v>235</v>
      </c>
      <c r="C76" s="415"/>
      <c r="D76" s="422">
        <f>ROUND(D75/12,2)</f>
        <v>24489.25</v>
      </c>
      <c r="E76" s="419">
        <f>E75/12</f>
        <v>22642.5</v>
      </c>
      <c r="F76" s="404">
        <f>ROUND(F75/12,2)</f>
        <v>24980</v>
      </c>
      <c r="G76" s="415">
        <f>G75/12</f>
        <v>22950.5</v>
      </c>
      <c r="H76" s="422">
        <f>ROUND(H75/12,2)</f>
        <v>25319.83</v>
      </c>
      <c r="I76" s="419">
        <f>I75/12</f>
        <v>23395.416666666668</v>
      </c>
      <c r="J76" s="404">
        <f>ROUND(J75/12,2)</f>
        <v>25810.67</v>
      </c>
      <c r="K76" s="415">
        <f>K75/12</f>
        <v>23703.416666666668</v>
      </c>
      <c r="L76" s="422">
        <f>ROUND(L75/12,2)</f>
        <v>26150.5</v>
      </c>
      <c r="M76" s="427"/>
      <c r="N76" s="405"/>
      <c r="O76" s="407">
        <f>ROUND(O75/12,2)</f>
        <v>23447.26</v>
      </c>
    </row>
    <row r="77" spans="1:15" ht="16" thickBot="1">
      <c r="A77" s="2050"/>
      <c r="B77" s="413" t="s">
        <v>229</v>
      </c>
      <c r="C77" s="200">
        <f>C75/12</f>
        <v>22197.666666666668</v>
      </c>
      <c r="D77" s="201">
        <f>ROUND(D76/160.33,2)</f>
        <v>152.74</v>
      </c>
      <c r="E77" s="420"/>
      <c r="F77" s="201">
        <f t="shared" ref="F77:O77" si="24">ROUND(F76/160.33,2)</f>
        <v>155.80000000000001</v>
      </c>
      <c r="G77" s="201">
        <f t="shared" si="24"/>
        <v>143.15</v>
      </c>
      <c r="H77" s="201">
        <f t="shared" si="24"/>
        <v>157.91999999999999</v>
      </c>
      <c r="I77" s="201">
        <f t="shared" si="24"/>
        <v>145.91999999999999</v>
      </c>
      <c r="J77" s="201">
        <f t="shared" si="24"/>
        <v>160.97999999999999</v>
      </c>
      <c r="K77" s="201">
        <f t="shared" si="24"/>
        <v>147.84</v>
      </c>
      <c r="L77" s="201">
        <f t="shared" si="24"/>
        <v>163.1</v>
      </c>
      <c r="M77" s="201">
        <f t="shared" si="24"/>
        <v>0</v>
      </c>
      <c r="N77" s="201">
        <f t="shared" si="24"/>
        <v>0</v>
      </c>
      <c r="O77" s="201">
        <f t="shared" si="24"/>
        <v>146.24</v>
      </c>
    </row>
    <row r="78" spans="1:15">
      <c r="A78" s="2051">
        <v>25</v>
      </c>
      <c r="B78" s="206" t="s">
        <v>97</v>
      </c>
      <c r="C78" s="195">
        <v>270701</v>
      </c>
      <c r="D78" s="199">
        <f>ROUND((C78*(1+'Løntabel gældende fra'!$D$7%)),0)</f>
        <v>298647</v>
      </c>
      <c r="E78" s="197">
        <v>275873</v>
      </c>
      <c r="F78" s="198">
        <f>ROUND((E78*(1+'Løntabel gældende fra'!$D$7%)),0)</f>
        <v>304353</v>
      </c>
      <c r="G78" s="195">
        <v>279454</v>
      </c>
      <c r="H78" s="199">
        <f>ROUND((G78*(1+'Løntabel gældende fra'!$D$7%)),0)</f>
        <v>308304</v>
      </c>
      <c r="I78" s="197">
        <v>284626</v>
      </c>
      <c r="J78" s="198">
        <f>ROUND((I78*(1+'Løntabel gældende fra'!$D$7%)),0)</f>
        <v>314010</v>
      </c>
      <c r="K78" s="195">
        <v>288206</v>
      </c>
      <c r="L78" s="199">
        <f>ROUND((K78*(1+'Løntabel gældende fra'!$D$7%)),0)</f>
        <v>317959</v>
      </c>
      <c r="M78" s="429"/>
      <c r="N78" s="408">
        <v>259721.7</v>
      </c>
      <c r="O78" s="409">
        <f>ROUND(N78*(1+'Løntabel gældende fra'!$D$7%),2)</f>
        <v>286534.33</v>
      </c>
    </row>
    <row r="79" spans="1:15">
      <c r="A79" s="2049"/>
      <c r="B79" s="412" t="s">
        <v>235</v>
      </c>
      <c r="C79" s="415"/>
      <c r="D79" s="422">
        <f>ROUND(D78/12,2)</f>
        <v>24887.25</v>
      </c>
      <c r="E79" s="419">
        <f>E78/12</f>
        <v>22989.416666666668</v>
      </c>
      <c r="F79" s="404">
        <f>ROUND(F78/12,2)</f>
        <v>25362.75</v>
      </c>
      <c r="G79" s="415">
        <f>G78/12</f>
        <v>23287.833333333332</v>
      </c>
      <c r="H79" s="422">
        <f>ROUND(H78/12,2)</f>
        <v>25692</v>
      </c>
      <c r="I79" s="419">
        <f>I78/12</f>
        <v>23718.833333333332</v>
      </c>
      <c r="J79" s="404">
        <f>ROUND(J78/12,2)</f>
        <v>26167.5</v>
      </c>
      <c r="K79" s="415">
        <f>K78/12</f>
        <v>24017.166666666668</v>
      </c>
      <c r="L79" s="422">
        <f>ROUND(L78/12,2)</f>
        <v>26496.58</v>
      </c>
      <c r="M79" s="427"/>
      <c r="N79" s="405"/>
      <c r="O79" s="407">
        <f>ROUND(O78/12,2)</f>
        <v>23877.86</v>
      </c>
    </row>
    <row r="80" spans="1:15" ht="16" thickBot="1">
      <c r="A80" s="2052"/>
      <c r="B80" s="414" t="s">
        <v>229</v>
      </c>
      <c r="C80" s="418">
        <f>C78/12</f>
        <v>22558.416666666668</v>
      </c>
      <c r="D80" s="201">
        <f>ROUND(D79/160.33,2)</f>
        <v>155.22999999999999</v>
      </c>
      <c r="E80" s="421"/>
      <c r="F80" s="201">
        <f t="shared" ref="F80:O80" si="25">ROUND(F79/160.33,2)</f>
        <v>158.19</v>
      </c>
      <c r="G80" s="201">
        <f t="shared" si="25"/>
        <v>145.25</v>
      </c>
      <c r="H80" s="201">
        <f t="shared" si="25"/>
        <v>160.24</v>
      </c>
      <c r="I80" s="201">
        <f t="shared" si="25"/>
        <v>147.94</v>
      </c>
      <c r="J80" s="201">
        <f t="shared" si="25"/>
        <v>163.21</v>
      </c>
      <c r="K80" s="201">
        <f t="shared" si="25"/>
        <v>149.80000000000001</v>
      </c>
      <c r="L80" s="201">
        <f t="shared" si="25"/>
        <v>165.26</v>
      </c>
      <c r="M80" s="201">
        <f t="shared" si="25"/>
        <v>0</v>
      </c>
      <c r="N80" s="201">
        <f t="shared" si="25"/>
        <v>0</v>
      </c>
      <c r="O80" s="201">
        <f t="shared" si="25"/>
        <v>148.93</v>
      </c>
    </row>
    <row r="81" spans="1:15">
      <c r="A81" s="2048">
        <v>26</v>
      </c>
      <c r="B81" s="207" t="s">
        <v>97</v>
      </c>
      <c r="C81" s="203">
        <v>275131</v>
      </c>
      <c r="D81" s="196">
        <f>ROUND((C81*(1+'Løntabel gældende fra'!$D$7%)),0)</f>
        <v>303534</v>
      </c>
      <c r="E81" s="204">
        <v>280123</v>
      </c>
      <c r="F81" s="205">
        <f>ROUND((E81*(1+'Løntabel gældende fra'!$D$7%)),0)</f>
        <v>309042</v>
      </c>
      <c r="G81" s="203">
        <v>283580</v>
      </c>
      <c r="H81" s="196">
        <f>ROUND((G81*(1+'Løntabel gældende fra'!$D$7%)),0)</f>
        <v>312856</v>
      </c>
      <c r="I81" s="204">
        <v>288573</v>
      </c>
      <c r="J81" s="205">
        <f>ROUND((I81*(1+'Løntabel gældende fra'!$D$7%)),0)</f>
        <v>318364</v>
      </c>
      <c r="K81" s="203">
        <v>292029</v>
      </c>
      <c r="L81" s="196">
        <f>ROUND((K81*(1+'Løntabel gældende fra'!$D$7%)),0)</f>
        <v>322177</v>
      </c>
      <c r="M81" s="428"/>
      <c r="N81" s="406">
        <v>264528.59000000003</v>
      </c>
      <c r="O81" s="210">
        <f>ROUND(N81*(1+'Løntabel gældende fra'!$D$7%),2)</f>
        <v>291837.46000000002</v>
      </c>
    </row>
    <row r="82" spans="1:15">
      <c r="A82" s="2049"/>
      <c r="B82" s="412" t="s">
        <v>235</v>
      </c>
      <c r="C82" s="415"/>
      <c r="D82" s="422">
        <f>ROUND(D81/12,2)</f>
        <v>25294.5</v>
      </c>
      <c r="E82" s="419">
        <f>E81/12</f>
        <v>23343.583333333332</v>
      </c>
      <c r="F82" s="404">
        <f>ROUND(F81/12,2)</f>
        <v>25753.5</v>
      </c>
      <c r="G82" s="415">
        <f>G81/12</f>
        <v>23631.666666666668</v>
      </c>
      <c r="H82" s="422">
        <f>ROUND(H81/12,2)</f>
        <v>26071.33</v>
      </c>
      <c r="I82" s="419">
        <f>I81/12</f>
        <v>24047.75</v>
      </c>
      <c r="J82" s="404">
        <f>ROUND(J81/12,2)</f>
        <v>26530.33</v>
      </c>
      <c r="K82" s="415">
        <f>K81/12</f>
        <v>24335.75</v>
      </c>
      <c r="L82" s="422">
        <f>ROUND(L81/12,2)</f>
        <v>26848.080000000002</v>
      </c>
      <c r="M82" s="427"/>
      <c r="N82" s="405"/>
      <c r="O82" s="407">
        <f>ROUND(O81/12,2)</f>
        <v>24319.79</v>
      </c>
    </row>
    <row r="83" spans="1:15" ht="16" thickBot="1">
      <c r="A83" s="2050"/>
      <c r="B83" s="413" t="s">
        <v>229</v>
      </c>
      <c r="C83" s="200">
        <f>C81/12</f>
        <v>22927.583333333332</v>
      </c>
      <c r="D83" s="201">
        <f>ROUND(D82/160.33,2)</f>
        <v>157.77000000000001</v>
      </c>
      <c r="E83" s="420"/>
      <c r="F83" s="201">
        <f t="shared" ref="F83:O83" si="26">ROUND(F82/160.33,2)</f>
        <v>160.63</v>
      </c>
      <c r="G83" s="201">
        <f t="shared" si="26"/>
        <v>147.38999999999999</v>
      </c>
      <c r="H83" s="201">
        <f t="shared" si="26"/>
        <v>162.61000000000001</v>
      </c>
      <c r="I83" s="201">
        <f t="shared" si="26"/>
        <v>149.99</v>
      </c>
      <c r="J83" s="201">
        <f t="shared" si="26"/>
        <v>165.47</v>
      </c>
      <c r="K83" s="201">
        <f t="shared" si="26"/>
        <v>151.79</v>
      </c>
      <c r="L83" s="201">
        <f t="shared" si="26"/>
        <v>167.46</v>
      </c>
      <c r="M83" s="201">
        <f t="shared" si="26"/>
        <v>0</v>
      </c>
      <c r="N83" s="201">
        <f t="shared" si="26"/>
        <v>0</v>
      </c>
      <c r="O83" s="201">
        <f t="shared" si="26"/>
        <v>151.69</v>
      </c>
    </row>
    <row r="84" spans="1:15">
      <c r="A84" s="2051">
        <v>27</v>
      </c>
      <c r="B84" s="206" t="s">
        <v>97</v>
      </c>
      <c r="C84" s="195">
        <v>279656</v>
      </c>
      <c r="D84" s="199">
        <f>ROUND((C84*(1+'Løntabel gældende fra'!$D$7%)),0)</f>
        <v>308527</v>
      </c>
      <c r="E84" s="197">
        <v>284456</v>
      </c>
      <c r="F84" s="198">
        <f>ROUND((E84*(1+'Løntabel gældende fra'!$D$7%)),0)</f>
        <v>313822</v>
      </c>
      <c r="G84" s="195">
        <v>287782</v>
      </c>
      <c r="H84" s="199">
        <f>ROUND((G84*(1+'Løntabel gældende fra'!$D$7%)),0)</f>
        <v>317491</v>
      </c>
      <c r="I84" s="197">
        <v>292583</v>
      </c>
      <c r="J84" s="198">
        <f>ROUND((I84*(1+'Løntabel gældende fra'!$D$7%)),0)</f>
        <v>322788</v>
      </c>
      <c r="K84" s="195">
        <v>295908</v>
      </c>
      <c r="L84" s="199">
        <f>ROUND((K84*(1+'Løntabel gældende fra'!$D$7%)),0)</f>
        <v>326456</v>
      </c>
      <c r="M84" s="429"/>
      <c r="N84" s="408">
        <v>269459.90000000002</v>
      </c>
      <c r="O84" s="409">
        <f>ROUND(N84*(1+'Løntabel gældende fra'!$D$7%),2)</f>
        <v>297277.86</v>
      </c>
    </row>
    <row r="85" spans="1:15">
      <c r="A85" s="2049"/>
      <c r="B85" s="412" t="s">
        <v>235</v>
      </c>
      <c r="C85" s="415"/>
      <c r="D85" s="422">
        <f>ROUND(D84/12,2)</f>
        <v>25710.58</v>
      </c>
      <c r="E85" s="419">
        <f>E84/12</f>
        <v>23704.666666666668</v>
      </c>
      <c r="F85" s="404">
        <f>ROUND(F84/12,2)</f>
        <v>26151.83</v>
      </c>
      <c r="G85" s="415">
        <f>G84/12</f>
        <v>23981.833333333332</v>
      </c>
      <c r="H85" s="422">
        <f>ROUND(H84/12,2)</f>
        <v>26457.58</v>
      </c>
      <c r="I85" s="419">
        <f>I84/12</f>
        <v>24381.916666666668</v>
      </c>
      <c r="J85" s="404">
        <f>ROUND(J84/12,2)</f>
        <v>26899</v>
      </c>
      <c r="K85" s="415">
        <f>K84/12</f>
        <v>24659</v>
      </c>
      <c r="L85" s="422">
        <f>ROUND(L84/12,2)</f>
        <v>27204.67</v>
      </c>
      <c r="M85" s="427"/>
      <c r="N85" s="405"/>
      <c r="O85" s="407">
        <f>ROUND(O84/12,2)</f>
        <v>24773.16</v>
      </c>
    </row>
    <row r="86" spans="1:15" ht="16" thickBot="1">
      <c r="A86" s="2052"/>
      <c r="B86" s="414" t="s">
        <v>229</v>
      </c>
      <c r="C86" s="418">
        <f>C84/12</f>
        <v>23304.666666666668</v>
      </c>
      <c r="D86" s="201">
        <f>ROUND(D85/160.33,2)</f>
        <v>160.36000000000001</v>
      </c>
      <c r="E86" s="421"/>
      <c r="F86" s="201">
        <f t="shared" ref="F86:O86" si="27">ROUND(F85/160.33,2)</f>
        <v>163.11000000000001</v>
      </c>
      <c r="G86" s="201">
        <f t="shared" si="27"/>
        <v>149.58000000000001</v>
      </c>
      <c r="H86" s="201">
        <f t="shared" si="27"/>
        <v>165.02</v>
      </c>
      <c r="I86" s="201">
        <f t="shared" si="27"/>
        <v>152.07</v>
      </c>
      <c r="J86" s="201">
        <f t="shared" si="27"/>
        <v>167.77</v>
      </c>
      <c r="K86" s="201">
        <f t="shared" si="27"/>
        <v>153.80000000000001</v>
      </c>
      <c r="L86" s="201">
        <f t="shared" si="27"/>
        <v>169.68</v>
      </c>
      <c r="M86" s="201">
        <f t="shared" si="27"/>
        <v>0</v>
      </c>
      <c r="N86" s="201">
        <f t="shared" si="27"/>
        <v>0</v>
      </c>
      <c r="O86" s="201">
        <f t="shared" si="27"/>
        <v>154.51</v>
      </c>
    </row>
    <row r="87" spans="1:15">
      <c r="A87" s="2048">
        <v>28</v>
      </c>
      <c r="B87" s="207" t="s">
        <v>97</v>
      </c>
      <c r="C87" s="203">
        <v>284283</v>
      </c>
      <c r="D87" s="196">
        <f>ROUND((C87*(1+'Løntabel gældende fra'!$D$7%)),0)</f>
        <v>313631</v>
      </c>
      <c r="E87" s="204">
        <v>288881</v>
      </c>
      <c r="F87" s="205">
        <f>ROUND((E87*(1+'Løntabel gældende fra'!$D$7%)),0)</f>
        <v>318704</v>
      </c>
      <c r="G87" s="203">
        <v>292064</v>
      </c>
      <c r="H87" s="196">
        <f>ROUND((G87*(1+'Løntabel gældende fra'!$D$7%)),0)</f>
        <v>322216</v>
      </c>
      <c r="I87" s="204">
        <v>296661</v>
      </c>
      <c r="J87" s="205">
        <f>ROUND((I87*(1+'Løntabel gældende fra'!$D$7%)),0)</f>
        <v>327287</v>
      </c>
      <c r="K87" s="203">
        <v>299845</v>
      </c>
      <c r="L87" s="196">
        <f>ROUND((K87*(1+'Løntabel gældende fra'!$D$7%)),0)</f>
        <v>330800</v>
      </c>
      <c r="M87" s="428"/>
      <c r="N87" s="406">
        <v>274522.23</v>
      </c>
      <c r="O87" s="210">
        <f>ROUND(N87*(1+'Løntabel gældende fra'!$D$7%),2)</f>
        <v>302862.81</v>
      </c>
    </row>
    <row r="88" spans="1:15">
      <c r="A88" s="2049"/>
      <c r="B88" s="412" t="s">
        <v>235</v>
      </c>
      <c r="C88" s="415"/>
      <c r="D88" s="422">
        <f>ROUND(D87/12,2)</f>
        <v>26135.919999999998</v>
      </c>
      <c r="E88" s="419">
        <f>E87/12</f>
        <v>24073.416666666668</v>
      </c>
      <c r="F88" s="404">
        <f>ROUND(F87/12,2)</f>
        <v>26558.67</v>
      </c>
      <c r="G88" s="415">
        <f>G87/12</f>
        <v>24338.666666666668</v>
      </c>
      <c r="H88" s="422">
        <f>ROUND(H87/12,2)</f>
        <v>26851.33</v>
      </c>
      <c r="I88" s="419">
        <f>I87/12</f>
        <v>24721.75</v>
      </c>
      <c r="J88" s="404">
        <f>ROUND(J87/12,2)</f>
        <v>27273.919999999998</v>
      </c>
      <c r="K88" s="415">
        <f>K87/12</f>
        <v>24987.083333333332</v>
      </c>
      <c r="L88" s="422">
        <f>ROUND(L87/12,2)</f>
        <v>27566.67</v>
      </c>
      <c r="M88" s="427"/>
      <c r="N88" s="405"/>
      <c r="O88" s="407">
        <f>ROUND(O87/12,2)</f>
        <v>25238.57</v>
      </c>
    </row>
    <row r="89" spans="1:15" ht="16" thickBot="1">
      <c r="A89" s="2050"/>
      <c r="B89" s="413" t="s">
        <v>229</v>
      </c>
      <c r="C89" s="200">
        <f>C87/12</f>
        <v>23690.25</v>
      </c>
      <c r="D89" s="201">
        <f>ROUND(D88/160.33,2)</f>
        <v>163.01</v>
      </c>
      <c r="E89" s="201">
        <f t="shared" ref="E89:O89" si="28">ROUND(E88/160.33,2)</f>
        <v>150.15</v>
      </c>
      <c r="F89" s="201">
        <f t="shared" si="28"/>
        <v>165.65</v>
      </c>
      <c r="G89" s="201">
        <f t="shared" si="28"/>
        <v>151.80000000000001</v>
      </c>
      <c r="H89" s="201">
        <f t="shared" si="28"/>
        <v>167.48</v>
      </c>
      <c r="I89" s="201">
        <f t="shared" si="28"/>
        <v>154.19</v>
      </c>
      <c r="J89" s="201">
        <f t="shared" si="28"/>
        <v>170.11</v>
      </c>
      <c r="K89" s="201">
        <f t="shared" si="28"/>
        <v>155.85</v>
      </c>
      <c r="L89" s="201">
        <f t="shared" si="28"/>
        <v>171.94</v>
      </c>
      <c r="M89" s="201">
        <f t="shared" si="28"/>
        <v>0</v>
      </c>
      <c r="N89" s="201">
        <f t="shared" si="28"/>
        <v>0</v>
      </c>
      <c r="O89" s="201">
        <f t="shared" si="28"/>
        <v>157.41999999999999</v>
      </c>
    </row>
    <row r="90" spans="1:15">
      <c r="A90" s="2051">
        <v>29</v>
      </c>
      <c r="B90" s="206" t="s">
        <v>97</v>
      </c>
      <c r="C90" s="195">
        <v>289014</v>
      </c>
      <c r="D90" s="199">
        <f>ROUND((C90*(1+'Løntabel gældende fra'!$D$7%)),0)</f>
        <v>318851</v>
      </c>
      <c r="E90" s="197">
        <v>293394</v>
      </c>
      <c r="F90" s="198">
        <f>ROUND((E90*(1+'Løntabel gældende fra'!$D$7%)),0)</f>
        <v>323683</v>
      </c>
      <c r="G90" s="195">
        <v>296427</v>
      </c>
      <c r="H90" s="199">
        <f>ROUND((G90*(1+'Løntabel gældende fra'!$D$7%)),0)</f>
        <v>327029</v>
      </c>
      <c r="I90" s="197">
        <v>300807</v>
      </c>
      <c r="J90" s="198">
        <f>ROUND((I90*(1+'Løntabel gældende fra'!$D$7%)),0)</f>
        <v>331861</v>
      </c>
      <c r="K90" s="195">
        <v>303839</v>
      </c>
      <c r="L90" s="199">
        <f>ROUND((K90*(1+'Løntabel gældende fra'!$D$7%)),0)</f>
        <v>335206</v>
      </c>
      <c r="M90" s="429"/>
      <c r="N90" s="408">
        <v>279714.99</v>
      </c>
      <c r="O90" s="409">
        <f>ROUND(N90*(1+'Løntabel gældende fra'!$D$7%),2)</f>
        <v>308591.65000000002</v>
      </c>
    </row>
    <row r="91" spans="1:15">
      <c r="A91" s="2049"/>
      <c r="B91" s="412" t="s">
        <v>235</v>
      </c>
      <c r="C91" s="415"/>
      <c r="D91" s="422">
        <f>ROUND(D90/12,2)</f>
        <v>26570.92</v>
      </c>
      <c r="E91" s="419">
        <f>E90/12</f>
        <v>24449.5</v>
      </c>
      <c r="F91" s="404">
        <f>ROUND(F90/12,2)</f>
        <v>26973.58</v>
      </c>
      <c r="G91" s="415">
        <f>G90/12</f>
        <v>24702.25</v>
      </c>
      <c r="H91" s="422">
        <f>ROUND(H90/12,2)</f>
        <v>27252.42</v>
      </c>
      <c r="I91" s="419">
        <f>I90/12</f>
        <v>25067.25</v>
      </c>
      <c r="J91" s="404">
        <f>ROUND(J90/12,2)</f>
        <v>27655.08</v>
      </c>
      <c r="K91" s="415">
        <f>K90/12</f>
        <v>25319.916666666668</v>
      </c>
      <c r="L91" s="422">
        <f>ROUND(L90/12,2)</f>
        <v>27933.83</v>
      </c>
      <c r="M91" s="427"/>
      <c r="N91" s="405"/>
      <c r="O91" s="407">
        <f>ROUND(O90/12,2)</f>
        <v>25715.97</v>
      </c>
    </row>
    <row r="92" spans="1:15" ht="16" thickBot="1">
      <c r="A92" s="2052"/>
      <c r="B92" s="414" t="s">
        <v>229</v>
      </c>
      <c r="C92" s="418">
        <f>C90/12</f>
        <v>24084.5</v>
      </c>
      <c r="D92" s="201">
        <f>ROUND(D91/160.33,2)</f>
        <v>165.73</v>
      </c>
      <c r="E92" s="421"/>
      <c r="F92" s="201">
        <f t="shared" ref="F92:O92" si="29">ROUND(F91/160.33,2)</f>
        <v>168.24</v>
      </c>
      <c r="G92" s="201">
        <f t="shared" si="29"/>
        <v>154.07</v>
      </c>
      <c r="H92" s="201">
        <f t="shared" si="29"/>
        <v>169.98</v>
      </c>
      <c r="I92" s="201">
        <f t="shared" si="29"/>
        <v>156.35</v>
      </c>
      <c r="J92" s="201">
        <f t="shared" si="29"/>
        <v>172.49</v>
      </c>
      <c r="K92" s="201">
        <f t="shared" si="29"/>
        <v>157.91999999999999</v>
      </c>
      <c r="L92" s="201">
        <f t="shared" si="29"/>
        <v>174.23</v>
      </c>
      <c r="M92" s="201">
        <f t="shared" si="29"/>
        <v>0</v>
      </c>
      <c r="N92" s="201">
        <f t="shared" si="29"/>
        <v>0</v>
      </c>
      <c r="O92" s="201">
        <f t="shared" si="29"/>
        <v>160.38999999999999</v>
      </c>
    </row>
    <row r="93" spans="1:15">
      <c r="A93" s="2048">
        <v>30</v>
      </c>
      <c r="B93" s="207" t="s">
        <v>97</v>
      </c>
      <c r="C93" s="203">
        <v>293853</v>
      </c>
      <c r="D93" s="196">
        <f>ROUND((C93*(1+'Løntabel gældende fra'!$D$7%)),0)</f>
        <v>324189</v>
      </c>
      <c r="E93" s="204">
        <v>298001</v>
      </c>
      <c r="F93" s="205">
        <f>ROUND((E93*(1+'Løntabel gældende fra'!$D$7%)),0)</f>
        <v>328765</v>
      </c>
      <c r="G93" s="203">
        <v>300872</v>
      </c>
      <c r="H93" s="196">
        <f>ROUND((G93*(1+'Løntabel gældende fra'!$D$7%)),0)</f>
        <v>331933</v>
      </c>
      <c r="I93" s="204">
        <v>305018</v>
      </c>
      <c r="J93" s="205">
        <f>ROUND((I93*(1+'Løntabel gældende fra'!$D$7%)),0)</f>
        <v>336507</v>
      </c>
      <c r="K93" s="203">
        <v>307890</v>
      </c>
      <c r="L93" s="196">
        <f>ROUND((K93*(1+'Løntabel gældende fra'!$D$7%)),0)</f>
        <v>339675</v>
      </c>
      <c r="M93" s="428"/>
      <c r="N93" s="406">
        <v>285044.74</v>
      </c>
      <c r="O93" s="210">
        <f>ROUND(N93*(1+'Løntabel gældende fra'!$D$7%),2)</f>
        <v>314471.62</v>
      </c>
    </row>
    <row r="94" spans="1:15">
      <c r="A94" s="2049"/>
      <c r="B94" s="412" t="s">
        <v>98</v>
      </c>
      <c r="C94" s="415"/>
      <c r="D94" s="422">
        <f>ROUND(D93/12,2)</f>
        <v>27015.75</v>
      </c>
      <c r="E94" s="419">
        <f>E93/12</f>
        <v>24833.416666666668</v>
      </c>
      <c r="F94" s="404">
        <f>ROUND(F93/12,2)</f>
        <v>27397.08</v>
      </c>
      <c r="G94" s="415">
        <f>G93/12</f>
        <v>25072.666666666668</v>
      </c>
      <c r="H94" s="422">
        <f>ROUND(H93/12,2)</f>
        <v>27661.08</v>
      </c>
      <c r="I94" s="419">
        <f>I93/12</f>
        <v>25418.166666666668</v>
      </c>
      <c r="J94" s="404">
        <f>ROUND(J93/12,2)</f>
        <v>28042.25</v>
      </c>
      <c r="K94" s="415">
        <f>K93/12</f>
        <v>25657.5</v>
      </c>
      <c r="L94" s="422">
        <f>ROUND(L93/12,2)</f>
        <v>28306.25</v>
      </c>
      <c r="M94" s="427"/>
      <c r="N94" s="405"/>
      <c r="O94" s="407">
        <f>ROUND(O93/12,2)</f>
        <v>26205.97</v>
      </c>
    </row>
    <row r="95" spans="1:15" ht="16" thickBot="1">
      <c r="A95" s="2050"/>
      <c r="B95" s="413" t="s">
        <v>229</v>
      </c>
      <c r="C95" s="200">
        <f>C93/12</f>
        <v>24487.75</v>
      </c>
      <c r="D95" s="201">
        <f>ROUND(D94/160.33,2)</f>
        <v>168.5</v>
      </c>
      <c r="E95" s="420"/>
      <c r="F95" s="201">
        <f t="shared" ref="F95:O95" si="30">ROUND(F94/160.33,2)</f>
        <v>170.88</v>
      </c>
      <c r="G95" s="201">
        <f t="shared" si="30"/>
        <v>156.38</v>
      </c>
      <c r="H95" s="201">
        <f t="shared" si="30"/>
        <v>172.53</v>
      </c>
      <c r="I95" s="201">
        <f t="shared" si="30"/>
        <v>158.54</v>
      </c>
      <c r="J95" s="201">
        <f t="shared" si="30"/>
        <v>174.9</v>
      </c>
      <c r="K95" s="201">
        <f t="shared" si="30"/>
        <v>160.03</v>
      </c>
      <c r="L95" s="201">
        <f t="shared" si="30"/>
        <v>176.55</v>
      </c>
      <c r="M95" s="201">
        <f t="shared" si="30"/>
        <v>0</v>
      </c>
      <c r="N95" s="201">
        <f t="shared" si="30"/>
        <v>0</v>
      </c>
      <c r="O95" s="201">
        <f t="shared" si="30"/>
        <v>163.44999999999999</v>
      </c>
    </row>
    <row r="96" spans="1:15">
      <c r="A96" s="2051">
        <v>31</v>
      </c>
      <c r="B96" s="206" t="s">
        <v>97</v>
      </c>
      <c r="C96" s="195">
        <v>298795</v>
      </c>
      <c r="D96" s="199">
        <f>ROUND((C96*(1+'Løntabel gældende fra'!$D$7%)),0)</f>
        <v>329641</v>
      </c>
      <c r="E96" s="197">
        <v>302696</v>
      </c>
      <c r="F96" s="198">
        <f>ROUND((E96*(1+'Løntabel gældende fra'!$D$7%)),0)</f>
        <v>333945</v>
      </c>
      <c r="G96" s="195">
        <v>305398</v>
      </c>
      <c r="H96" s="199">
        <f>ROUND((G96*(1+'Løntabel gældende fra'!$D$7%)),0)</f>
        <v>336926</v>
      </c>
      <c r="I96" s="197">
        <v>309299</v>
      </c>
      <c r="J96" s="198">
        <f>ROUND((I96*(1+'Løntabel gældende fra'!$D$7%)),0)</f>
        <v>341230</v>
      </c>
      <c r="K96" s="195">
        <v>312000</v>
      </c>
      <c r="L96" s="199">
        <f>ROUND((K96*(1+'Løntabel gældende fra'!$D$7%)),0)</f>
        <v>344210</v>
      </c>
      <c r="M96" s="429"/>
      <c r="N96" s="408">
        <v>290512.64000000001</v>
      </c>
      <c r="O96" s="409">
        <f>ROUND(N96*(1+'Løntabel gældende fra'!$D$7%),2)</f>
        <v>320504</v>
      </c>
    </row>
    <row r="97" spans="1:15">
      <c r="A97" s="2049"/>
      <c r="B97" s="412" t="s">
        <v>235</v>
      </c>
      <c r="C97" s="415"/>
      <c r="D97" s="422">
        <f>ROUND(D96/12,2)</f>
        <v>27470.080000000002</v>
      </c>
      <c r="E97" s="419">
        <f>E96/12</f>
        <v>25224.666666666668</v>
      </c>
      <c r="F97" s="404">
        <f>ROUND(F96/12,2)</f>
        <v>27828.75</v>
      </c>
      <c r="G97" s="415">
        <f>G96/12</f>
        <v>25449.833333333332</v>
      </c>
      <c r="H97" s="422">
        <f>ROUND(H96/12,2)</f>
        <v>28077.17</v>
      </c>
      <c r="I97" s="419">
        <f>I96/12</f>
        <v>25774.916666666668</v>
      </c>
      <c r="J97" s="404">
        <f>ROUND(J96/12,2)</f>
        <v>28435.83</v>
      </c>
      <c r="K97" s="415">
        <f>K96/12</f>
        <v>26000</v>
      </c>
      <c r="L97" s="422">
        <f>ROUND(L96/12,2)</f>
        <v>28684.17</v>
      </c>
      <c r="M97" s="427"/>
      <c r="N97" s="405"/>
      <c r="O97" s="407">
        <f>ROUND(O96/12,2)</f>
        <v>26708.67</v>
      </c>
    </row>
    <row r="98" spans="1:15" ht="16" thickBot="1">
      <c r="A98" s="2052"/>
      <c r="B98" s="414" t="s">
        <v>229</v>
      </c>
      <c r="C98" s="418">
        <f>C96/12</f>
        <v>24899.583333333332</v>
      </c>
      <c r="D98" s="201">
        <f>ROUND(D97/160.33,2)</f>
        <v>171.33</v>
      </c>
      <c r="E98" s="421"/>
      <c r="F98" s="201">
        <f t="shared" ref="F98:O98" si="31">ROUND(F97/160.33,2)</f>
        <v>173.57</v>
      </c>
      <c r="G98" s="201">
        <f t="shared" si="31"/>
        <v>158.72999999999999</v>
      </c>
      <c r="H98" s="201">
        <f t="shared" si="31"/>
        <v>175.12</v>
      </c>
      <c r="I98" s="201">
        <f t="shared" si="31"/>
        <v>160.76</v>
      </c>
      <c r="J98" s="201">
        <f t="shared" si="31"/>
        <v>177.36</v>
      </c>
      <c r="K98" s="201">
        <f t="shared" si="31"/>
        <v>162.16999999999999</v>
      </c>
      <c r="L98" s="201">
        <f t="shared" si="31"/>
        <v>178.91</v>
      </c>
      <c r="M98" s="201">
        <f t="shared" si="31"/>
        <v>0</v>
      </c>
      <c r="N98" s="201">
        <f t="shared" si="31"/>
        <v>0</v>
      </c>
      <c r="O98" s="201">
        <f t="shared" si="31"/>
        <v>166.59</v>
      </c>
    </row>
    <row r="99" spans="1:15">
      <c r="A99" s="2048">
        <v>32</v>
      </c>
      <c r="B99" s="207" t="s">
        <v>97</v>
      </c>
      <c r="C99" s="203">
        <v>303852</v>
      </c>
      <c r="D99" s="196">
        <f>ROUND((C99*(1+'Løntabel gældende fra'!$D$7%)),0)</f>
        <v>335220</v>
      </c>
      <c r="E99" s="204">
        <v>307490</v>
      </c>
      <c r="F99" s="205">
        <f>ROUND((E99*(1+'Løntabel gældende fra'!$D$7%)),0)</f>
        <v>339234</v>
      </c>
      <c r="G99" s="203">
        <v>310009</v>
      </c>
      <c r="H99" s="196">
        <f>ROUND((G99*(1+'Løntabel gældende fra'!$D$7%)),0)</f>
        <v>342013</v>
      </c>
      <c r="I99" s="204">
        <v>313649</v>
      </c>
      <c r="J99" s="205">
        <f>ROUND((I99*(1+'Løntabel gældende fra'!$D$7%)),0)</f>
        <v>346029</v>
      </c>
      <c r="K99" s="203">
        <v>316167</v>
      </c>
      <c r="L99" s="196">
        <f>ROUND((K99*(1+'Løntabel gældende fra'!$D$7%)),0)</f>
        <v>348807</v>
      </c>
      <c r="M99" s="428"/>
      <c r="N99" s="406">
        <v>296125.21000000002</v>
      </c>
      <c r="O99" s="210">
        <f>ROUND(N99*(1+'Løntabel gældende fra'!$D$7%),2)</f>
        <v>326695.99</v>
      </c>
    </row>
    <row r="100" spans="1:15">
      <c r="A100" s="2049"/>
      <c r="B100" s="412" t="s">
        <v>98</v>
      </c>
      <c r="C100" s="415"/>
      <c r="D100" s="422">
        <f>ROUND(D99/12,2)</f>
        <v>27935</v>
      </c>
      <c r="E100" s="419">
        <f>E99/12</f>
        <v>25624.166666666668</v>
      </c>
      <c r="F100" s="404">
        <f>ROUND(F99/12,2)</f>
        <v>28269.5</v>
      </c>
      <c r="G100" s="415">
        <f>G99/12</f>
        <v>25834.083333333332</v>
      </c>
      <c r="H100" s="422">
        <f>ROUND(H99/12,2)</f>
        <v>28501.08</v>
      </c>
      <c r="I100" s="419">
        <f>I99/12</f>
        <v>26137.416666666668</v>
      </c>
      <c r="J100" s="404">
        <f>ROUND(J99/12,2)</f>
        <v>28835.75</v>
      </c>
      <c r="K100" s="415">
        <f>K99/12</f>
        <v>26347.25</v>
      </c>
      <c r="L100" s="422">
        <f>ROUND(L99/12,2)</f>
        <v>29067.25</v>
      </c>
      <c r="M100" s="427"/>
      <c r="N100" s="405"/>
      <c r="O100" s="407">
        <f>ROUND(O99/12,2)</f>
        <v>27224.67</v>
      </c>
    </row>
    <row r="101" spans="1:15" ht="16" thickBot="1">
      <c r="A101" s="2050"/>
      <c r="B101" s="413" t="s">
        <v>229</v>
      </c>
      <c r="C101" s="200">
        <f>C99/12</f>
        <v>25321</v>
      </c>
      <c r="D101" s="201">
        <f>ROUND(D100/160.33,2)</f>
        <v>174.23</v>
      </c>
      <c r="E101" s="420"/>
      <c r="F101" s="201">
        <f t="shared" ref="F101:O101" si="32">ROUND(F100/160.33,2)</f>
        <v>176.32</v>
      </c>
      <c r="G101" s="201">
        <f t="shared" si="32"/>
        <v>161.13</v>
      </c>
      <c r="H101" s="201">
        <f t="shared" si="32"/>
        <v>177.77</v>
      </c>
      <c r="I101" s="201">
        <f t="shared" si="32"/>
        <v>163.02000000000001</v>
      </c>
      <c r="J101" s="201">
        <f t="shared" si="32"/>
        <v>179.85</v>
      </c>
      <c r="K101" s="201">
        <f t="shared" si="32"/>
        <v>164.33</v>
      </c>
      <c r="L101" s="201">
        <f t="shared" si="32"/>
        <v>181.3</v>
      </c>
      <c r="M101" s="201">
        <f t="shared" si="32"/>
        <v>0</v>
      </c>
      <c r="N101" s="201">
        <f t="shared" si="32"/>
        <v>0</v>
      </c>
      <c r="O101" s="201">
        <f t="shared" si="32"/>
        <v>169.8</v>
      </c>
    </row>
    <row r="102" spans="1:15">
      <c r="A102" s="2051">
        <v>33</v>
      </c>
      <c r="B102" s="206" t="s">
        <v>97</v>
      </c>
      <c r="C102" s="195">
        <v>309016</v>
      </c>
      <c r="D102" s="199">
        <f>ROUND((C102*(1+'Løntabel gældende fra'!$D$7%)),0)</f>
        <v>340918</v>
      </c>
      <c r="E102" s="197">
        <v>312375</v>
      </c>
      <c r="F102" s="198">
        <f>ROUND((E102*(1+'Løntabel gældende fra'!$D$7%)),0)</f>
        <v>344623</v>
      </c>
      <c r="G102" s="195">
        <v>314703</v>
      </c>
      <c r="H102" s="199">
        <f>ROUND((G102*(1+'Løntabel gældende fra'!$D$7%)),0)</f>
        <v>347192</v>
      </c>
      <c r="I102" s="197">
        <v>318063</v>
      </c>
      <c r="J102" s="198">
        <f>ROUND((I102*(1+'Løntabel gældende fra'!$D$7%)),0)</f>
        <v>350899</v>
      </c>
      <c r="K102" s="195">
        <v>320390</v>
      </c>
      <c r="L102" s="199">
        <f>ROUND((K102*(1+'Løntabel gældende fra'!$D$7%)),0)</f>
        <v>353466</v>
      </c>
      <c r="M102" s="429"/>
      <c r="N102" s="408">
        <v>301881.8</v>
      </c>
      <c r="O102" s="409">
        <f>ROUND(N102*(1+'Løntabel gældende fra'!$D$7%),2)</f>
        <v>333046.87</v>
      </c>
    </row>
    <row r="103" spans="1:15">
      <c r="A103" s="2049"/>
      <c r="B103" s="412" t="s">
        <v>235</v>
      </c>
      <c r="C103" s="415"/>
      <c r="D103" s="422">
        <f>ROUND(D102/12,2)</f>
        <v>28409.83</v>
      </c>
      <c r="E103" s="419">
        <f>E102/12</f>
        <v>26031.25</v>
      </c>
      <c r="F103" s="404">
        <f>ROUND(F102/12,2)</f>
        <v>28718.58</v>
      </c>
      <c r="G103" s="415">
        <f>G102/12</f>
        <v>26225.25</v>
      </c>
      <c r="H103" s="422">
        <f>ROUND(H102/12,2)</f>
        <v>28932.67</v>
      </c>
      <c r="I103" s="419">
        <f>I102/12</f>
        <v>26505.25</v>
      </c>
      <c r="J103" s="404">
        <f>ROUND(J102/12,2)</f>
        <v>29241.58</v>
      </c>
      <c r="K103" s="415">
        <f>K102/12</f>
        <v>26699.166666666668</v>
      </c>
      <c r="L103" s="422">
        <f>ROUND(L102/12,2)</f>
        <v>29455.5</v>
      </c>
      <c r="M103" s="427"/>
      <c r="N103" s="405"/>
      <c r="O103" s="407">
        <f>ROUND(O102/12,2)</f>
        <v>27753.91</v>
      </c>
    </row>
    <row r="104" spans="1:15" ht="16" thickBot="1">
      <c r="A104" s="2052"/>
      <c r="B104" s="414" t="s">
        <v>229</v>
      </c>
      <c r="C104" s="418">
        <f>C102/12</f>
        <v>25751.333333333332</v>
      </c>
      <c r="D104" s="201">
        <f>ROUND(D103/160.33,2)</f>
        <v>177.2</v>
      </c>
      <c r="E104" s="421"/>
      <c r="F104" s="201">
        <f t="shared" ref="F104:O104" si="33">ROUND(F103/160.33,2)</f>
        <v>179.12</v>
      </c>
      <c r="G104" s="201">
        <f t="shared" si="33"/>
        <v>163.57</v>
      </c>
      <c r="H104" s="201">
        <f t="shared" si="33"/>
        <v>180.46</v>
      </c>
      <c r="I104" s="201">
        <f t="shared" si="33"/>
        <v>165.32</v>
      </c>
      <c r="J104" s="201">
        <f t="shared" si="33"/>
        <v>182.38</v>
      </c>
      <c r="K104" s="201">
        <f t="shared" si="33"/>
        <v>166.53</v>
      </c>
      <c r="L104" s="201">
        <f t="shared" si="33"/>
        <v>183.72</v>
      </c>
      <c r="M104" s="201">
        <f t="shared" si="33"/>
        <v>0</v>
      </c>
      <c r="N104" s="201">
        <f t="shared" si="33"/>
        <v>0</v>
      </c>
      <c r="O104" s="201">
        <f t="shared" si="33"/>
        <v>173.1</v>
      </c>
    </row>
    <row r="105" spans="1:15">
      <c r="A105" s="2048">
        <v>34</v>
      </c>
      <c r="B105" s="207" t="s">
        <v>97</v>
      </c>
      <c r="C105" s="203">
        <v>314298</v>
      </c>
      <c r="D105" s="196">
        <f>ROUND((C105*(1+'Løntabel gældende fra'!$D$7%)),0)</f>
        <v>346745</v>
      </c>
      <c r="E105" s="204">
        <v>317363</v>
      </c>
      <c r="F105" s="205">
        <f>ROUND((E105*(1+'Løntabel gældende fra'!$D$7%)),0)</f>
        <v>350126</v>
      </c>
      <c r="G105" s="203">
        <v>319485</v>
      </c>
      <c r="H105" s="196">
        <f>ROUND((G105*(1+'Løntabel gældende fra'!$D$7%)),0)</f>
        <v>352467</v>
      </c>
      <c r="I105" s="204">
        <v>322548</v>
      </c>
      <c r="J105" s="205">
        <f>ROUND((I105*(1+'Løntabel gældende fra'!$D$7%)),0)</f>
        <v>355847</v>
      </c>
      <c r="K105" s="203">
        <v>324670</v>
      </c>
      <c r="L105" s="196">
        <f>ROUND((K105*(1+'Løntabel gældende fra'!$D$7%)),0)</f>
        <v>358188</v>
      </c>
      <c r="M105" s="428"/>
      <c r="N105" s="406">
        <v>307790.62</v>
      </c>
      <c r="O105" s="210">
        <f>ROUND(N105*(1+'Løntabel gældende fra'!$D$7%),2)</f>
        <v>339565.69</v>
      </c>
    </row>
    <row r="106" spans="1:15">
      <c r="A106" s="2049"/>
      <c r="B106" s="412" t="s">
        <v>235</v>
      </c>
      <c r="C106" s="415"/>
      <c r="D106" s="422">
        <f>ROUND(D105/12,2)</f>
        <v>28895.42</v>
      </c>
      <c r="E106" s="419">
        <f>E105/12</f>
        <v>26446.916666666668</v>
      </c>
      <c r="F106" s="404">
        <f>ROUND(F105/12,2)</f>
        <v>29177.17</v>
      </c>
      <c r="G106" s="415">
        <f>G105/12</f>
        <v>26623.75</v>
      </c>
      <c r="H106" s="422">
        <f>ROUND(H105/12,2)</f>
        <v>29372.25</v>
      </c>
      <c r="I106" s="419">
        <f>I105/12</f>
        <v>26879</v>
      </c>
      <c r="J106" s="404">
        <f>ROUND(J105/12,2)</f>
        <v>29653.919999999998</v>
      </c>
      <c r="K106" s="415">
        <f>K105/12</f>
        <v>27055.833333333332</v>
      </c>
      <c r="L106" s="422">
        <f>ROUND(L105/12,2)</f>
        <v>29849</v>
      </c>
      <c r="M106" s="427"/>
      <c r="N106" s="405"/>
      <c r="O106" s="407">
        <f>ROUND(O105/12,2)</f>
        <v>28297.14</v>
      </c>
    </row>
    <row r="107" spans="1:15" ht="16" thickBot="1">
      <c r="A107" s="2050"/>
      <c r="B107" s="413" t="s">
        <v>229</v>
      </c>
      <c r="C107" s="200">
        <f>C105/12</f>
        <v>26191.5</v>
      </c>
      <c r="D107" s="201">
        <f>ROUND(D106/160.33,2)</f>
        <v>180.22</v>
      </c>
      <c r="E107" s="420"/>
      <c r="F107" s="201">
        <f t="shared" ref="F107:O107" si="34">ROUND(F106/160.33,2)</f>
        <v>181.98</v>
      </c>
      <c r="G107" s="201">
        <f t="shared" si="34"/>
        <v>166.06</v>
      </c>
      <c r="H107" s="201">
        <f t="shared" si="34"/>
        <v>183.2</v>
      </c>
      <c r="I107" s="201">
        <f t="shared" si="34"/>
        <v>167.65</v>
      </c>
      <c r="J107" s="201">
        <f t="shared" si="34"/>
        <v>184.96</v>
      </c>
      <c r="K107" s="201">
        <f t="shared" si="34"/>
        <v>168.75</v>
      </c>
      <c r="L107" s="201">
        <f t="shared" si="34"/>
        <v>186.17</v>
      </c>
      <c r="M107" s="201">
        <f t="shared" si="34"/>
        <v>0</v>
      </c>
      <c r="N107" s="201">
        <f t="shared" si="34"/>
        <v>0</v>
      </c>
      <c r="O107" s="201">
        <f t="shared" si="34"/>
        <v>176.49</v>
      </c>
    </row>
    <row r="108" spans="1:15">
      <c r="A108" s="2051">
        <v>35</v>
      </c>
      <c r="B108" s="206" t="s">
        <v>97</v>
      </c>
      <c r="C108" s="195">
        <v>319697</v>
      </c>
      <c r="D108" s="199">
        <f>ROUND((C108*(1+'Løntabel gældende fra'!$D$7%)),0)</f>
        <v>352701</v>
      </c>
      <c r="E108" s="197">
        <v>322450</v>
      </c>
      <c r="F108" s="198">
        <f>ROUND((E108*(1+'Løntabel gældende fra'!$D$7%)),0)</f>
        <v>355738</v>
      </c>
      <c r="G108" s="195">
        <v>324354</v>
      </c>
      <c r="H108" s="199">
        <f>ROUND((G108*(1+'Løntabel gældende fra'!$D$7%)),0)</f>
        <v>357839</v>
      </c>
      <c r="I108" s="197">
        <v>327107</v>
      </c>
      <c r="J108" s="198">
        <f>ROUND((I108*(1+'Løntabel gældende fra'!$D$7%)),0)</f>
        <v>360876</v>
      </c>
      <c r="K108" s="195">
        <v>329011</v>
      </c>
      <c r="L108" s="199">
        <f>ROUND((K108*(1+'Løntabel gældende fra'!$D$7%)),0)</f>
        <v>362977</v>
      </c>
      <c r="M108" s="429"/>
      <c r="N108" s="408">
        <v>313854.56</v>
      </c>
      <c r="O108" s="409">
        <f>ROUND(N108*(1+'Løntabel gældende fra'!$D$7%),2)</f>
        <v>346255.65</v>
      </c>
    </row>
    <row r="109" spans="1:15">
      <c r="A109" s="2049"/>
      <c r="B109" s="412" t="s">
        <v>235</v>
      </c>
      <c r="C109" s="415"/>
      <c r="D109" s="422">
        <f>ROUND(D108/12,2)</f>
        <v>29391.75</v>
      </c>
      <c r="E109" s="419">
        <f>E108/12</f>
        <v>26870.833333333332</v>
      </c>
      <c r="F109" s="404">
        <f>ROUND(F108/12,2)</f>
        <v>29644.83</v>
      </c>
      <c r="G109" s="415">
        <f>G108/12</f>
        <v>27029.5</v>
      </c>
      <c r="H109" s="422">
        <f>ROUND(H108/12,2)</f>
        <v>29819.919999999998</v>
      </c>
      <c r="I109" s="419">
        <f>I108/12</f>
        <v>27258.916666666668</v>
      </c>
      <c r="J109" s="404">
        <f>ROUND(J108/12,2)</f>
        <v>30073</v>
      </c>
      <c r="K109" s="415">
        <f>K108/12</f>
        <v>27417.583333333332</v>
      </c>
      <c r="L109" s="422">
        <f>ROUND(L108/12,2)</f>
        <v>30248.080000000002</v>
      </c>
      <c r="M109" s="427"/>
      <c r="N109" s="405"/>
      <c r="O109" s="407">
        <f>ROUND(O108/12,2)</f>
        <v>28854.639999999999</v>
      </c>
    </row>
    <row r="110" spans="1:15" ht="16" thickBot="1">
      <c r="A110" s="2052"/>
      <c r="B110" s="414" t="s">
        <v>229</v>
      </c>
      <c r="C110" s="418">
        <f>C108/12</f>
        <v>26641.416666666668</v>
      </c>
      <c r="D110" s="201">
        <f>ROUND(D109/160.33,2)</f>
        <v>183.32</v>
      </c>
      <c r="E110" s="421"/>
      <c r="F110" s="201">
        <f t="shared" ref="F110:O110" si="35">ROUND(F109/160.33,2)</f>
        <v>184.9</v>
      </c>
      <c r="G110" s="201">
        <f t="shared" si="35"/>
        <v>168.59</v>
      </c>
      <c r="H110" s="201">
        <f t="shared" si="35"/>
        <v>185.99</v>
      </c>
      <c r="I110" s="201">
        <f t="shared" si="35"/>
        <v>170.02</v>
      </c>
      <c r="J110" s="201">
        <f t="shared" si="35"/>
        <v>187.57</v>
      </c>
      <c r="K110" s="201">
        <f t="shared" si="35"/>
        <v>171.01</v>
      </c>
      <c r="L110" s="201">
        <f t="shared" si="35"/>
        <v>188.66</v>
      </c>
      <c r="M110" s="201">
        <f t="shared" si="35"/>
        <v>0</v>
      </c>
      <c r="N110" s="201">
        <f t="shared" si="35"/>
        <v>0</v>
      </c>
      <c r="O110" s="201">
        <f t="shared" si="35"/>
        <v>179.97</v>
      </c>
    </row>
    <row r="111" spans="1:15">
      <c r="A111" s="2048">
        <v>36</v>
      </c>
      <c r="B111" s="207" t="s">
        <v>97</v>
      </c>
      <c r="C111" s="203">
        <v>325214</v>
      </c>
      <c r="D111" s="196">
        <f>ROUND((C111*(1+'Løntabel gældende fra'!$D$7%)),0)</f>
        <v>358788</v>
      </c>
      <c r="E111" s="204">
        <v>327634</v>
      </c>
      <c r="F111" s="205">
        <f>ROUND((E111*(1+'Løntabel gældende fra'!$D$7%)),0)</f>
        <v>361458</v>
      </c>
      <c r="G111" s="203">
        <v>329310</v>
      </c>
      <c r="H111" s="196">
        <f>ROUND((G111*(1+'Løntabel gældende fra'!$D$7%)),0)</f>
        <v>363307</v>
      </c>
      <c r="I111" s="204">
        <v>331731</v>
      </c>
      <c r="J111" s="205">
        <f>ROUND((I111*(1+'Løntabel gældende fra'!$D$7%)),0)</f>
        <v>365978</v>
      </c>
      <c r="K111" s="203">
        <v>333406</v>
      </c>
      <c r="L111" s="196">
        <f>ROUND((K111*(1+'Løntabel gældende fra'!$D$7%)),0)</f>
        <v>367826</v>
      </c>
      <c r="M111" s="428"/>
      <c r="N111" s="406">
        <v>320074.68</v>
      </c>
      <c r="O111" s="210">
        <f>ROUND(N111*(1+'Løntabel gældende fra'!$D$7%),2)</f>
        <v>353117.91</v>
      </c>
    </row>
    <row r="112" spans="1:15">
      <c r="A112" s="2049"/>
      <c r="B112" s="412" t="s">
        <v>235</v>
      </c>
      <c r="C112" s="415"/>
      <c r="D112" s="422">
        <f>ROUND(D111/12,2)</f>
        <v>29899</v>
      </c>
      <c r="E112" s="419">
        <f>E111/12</f>
        <v>27302.833333333332</v>
      </c>
      <c r="F112" s="404">
        <f>ROUND(F111/12,2)</f>
        <v>30121.5</v>
      </c>
      <c r="G112" s="415">
        <f>G111/12</f>
        <v>27442.5</v>
      </c>
      <c r="H112" s="422">
        <f>ROUND(H111/12,2)</f>
        <v>30275.58</v>
      </c>
      <c r="I112" s="419">
        <f>I111/12</f>
        <v>27644.25</v>
      </c>
      <c r="J112" s="404">
        <f>ROUND(J111/12,2)</f>
        <v>30498.17</v>
      </c>
      <c r="K112" s="415">
        <f>K111/12</f>
        <v>27783.833333333332</v>
      </c>
      <c r="L112" s="422">
        <f>ROUND(L111/12,2)</f>
        <v>30652.17</v>
      </c>
      <c r="M112" s="427"/>
      <c r="N112" s="405"/>
      <c r="O112" s="407">
        <f>ROUND(O111/12,2)</f>
        <v>29426.49</v>
      </c>
    </row>
    <row r="113" spans="1:15" ht="16" thickBot="1">
      <c r="A113" s="2050"/>
      <c r="B113" s="413" t="s">
        <v>229</v>
      </c>
      <c r="C113" s="200">
        <f>C111/12</f>
        <v>27101.166666666668</v>
      </c>
      <c r="D113" s="201">
        <f>ROUND(D112/160.33,2)</f>
        <v>186.48</v>
      </c>
      <c r="E113" s="420"/>
      <c r="F113" s="201">
        <f t="shared" ref="F113:O113" si="36">ROUND(F112/160.33,2)</f>
        <v>187.87</v>
      </c>
      <c r="G113" s="201">
        <f t="shared" si="36"/>
        <v>171.16</v>
      </c>
      <c r="H113" s="201">
        <f t="shared" si="36"/>
        <v>188.83</v>
      </c>
      <c r="I113" s="201">
        <f t="shared" si="36"/>
        <v>172.42</v>
      </c>
      <c r="J113" s="201">
        <f t="shared" si="36"/>
        <v>190.22</v>
      </c>
      <c r="K113" s="201">
        <f t="shared" si="36"/>
        <v>173.29</v>
      </c>
      <c r="L113" s="201">
        <f t="shared" si="36"/>
        <v>191.18</v>
      </c>
      <c r="M113" s="201">
        <f t="shared" si="36"/>
        <v>0</v>
      </c>
      <c r="N113" s="201">
        <f t="shared" si="36"/>
        <v>0</v>
      </c>
      <c r="O113" s="201">
        <f t="shared" si="36"/>
        <v>183.54</v>
      </c>
    </row>
    <row r="114" spans="1:15">
      <c r="A114" s="2051">
        <v>37</v>
      </c>
      <c r="B114" s="206" t="s">
        <v>97</v>
      </c>
      <c r="C114" s="195">
        <v>330853</v>
      </c>
      <c r="D114" s="199">
        <f>ROUND((C114*(1+'Løntabel gældende fra'!$D$7%)),0)</f>
        <v>365009</v>
      </c>
      <c r="E114" s="197">
        <v>332923</v>
      </c>
      <c r="F114" s="198">
        <f>ROUND((E114*(1+'Løntabel gældende fra'!$D$7%)),0)</f>
        <v>367293</v>
      </c>
      <c r="G114" s="195">
        <v>334355</v>
      </c>
      <c r="H114" s="199">
        <f>ROUND((G114*(1+'Løntabel gældende fra'!$D$7%)),0)</f>
        <v>368872</v>
      </c>
      <c r="I114" s="197">
        <v>336425</v>
      </c>
      <c r="J114" s="198">
        <f>ROUND((I114*(1+'Løntabel gældende fra'!$D$7%)),0)</f>
        <v>371156</v>
      </c>
      <c r="K114" s="195">
        <v>337859</v>
      </c>
      <c r="L114" s="199">
        <f>ROUND((K114*(1+'Løntabel gældende fra'!$D$7%)),0)</f>
        <v>372738</v>
      </c>
      <c r="M114" s="429"/>
      <c r="N114" s="408">
        <v>326457.34000000003</v>
      </c>
      <c r="O114" s="409">
        <f>ROUND(N114*(1+'Løntabel gældende fra'!$D$7%),2)</f>
        <v>360159.49</v>
      </c>
    </row>
    <row r="115" spans="1:15">
      <c r="A115" s="2049"/>
      <c r="B115" s="412" t="s">
        <v>235</v>
      </c>
      <c r="C115" s="415"/>
      <c r="D115" s="422">
        <f>ROUND(D114/12,2)</f>
        <v>30417.42</v>
      </c>
      <c r="E115" s="419">
        <f>E114/12</f>
        <v>27743.583333333332</v>
      </c>
      <c r="F115" s="404">
        <f>ROUND(F114/12,2)</f>
        <v>30607.75</v>
      </c>
      <c r="G115" s="415">
        <f>G114/12</f>
        <v>27862.916666666668</v>
      </c>
      <c r="H115" s="422">
        <f>ROUND(H114/12,2)</f>
        <v>30739.33</v>
      </c>
      <c r="I115" s="419">
        <f>I114/12</f>
        <v>28035.416666666668</v>
      </c>
      <c r="J115" s="404">
        <f>ROUND(J114/12,2)</f>
        <v>30929.67</v>
      </c>
      <c r="K115" s="415">
        <f>K114/12</f>
        <v>28154.916666666668</v>
      </c>
      <c r="L115" s="422">
        <f>ROUND(L114/12,2)</f>
        <v>31061.5</v>
      </c>
      <c r="M115" s="427"/>
      <c r="N115" s="405"/>
      <c r="O115" s="407">
        <f>ROUND(O114/12,2)</f>
        <v>30013.29</v>
      </c>
    </row>
    <row r="116" spans="1:15" ht="16" thickBot="1">
      <c r="A116" s="2052"/>
      <c r="B116" s="414" t="s">
        <v>229</v>
      </c>
      <c r="C116" s="418">
        <f>C114/12</f>
        <v>27571.083333333332</v>
      </c>
      <c r="D116" s="201">
        <f>ROUND(D115/160.33,2)</f>
        <v>189.72</v>
      </c>
      <c r="E116" s="421"/>
      <c r="F116" s="201">
        <f t="shared" ref="F116:O116" si="37">ROUND(F115/160.33,2)</f>
        <v>190.9</v>
      </c>
      <c r="G116" s="201">
        <f t="shared" si="37"/>
        <v>173.78</v>
      </c>
      <c r="H116" s="201">
        <f t="shared" si="37"/>
        <v>191.73</v>
      </c>
      <c r="I116" s="201">
        <f t="shared" si="37"/>
        <v>174.86</v>
      </c>
      <c r="J116" s="201">
        <f t="shared" si="37"/>
        <v>192.91</v>
      </c>
      <c r="K116" s="201">
        <f t="shared" si="37"/>
        <v>175.61</v>
      </c>
      <c r="L116" s="201">
        <f t="shared" si="37"/>
        <v>193.73</v>
      </c>
      <c r="M116" s="201">
        <f t="shared" si="37"/>
        <v>0</v>
      </c>
      <c r="N116" s="201">
        <f t="shared" si="37"/>
        <v>0</v>
      </c>
      <c r="O116" s="201">
        <f t="shared" si="37"/>
        <v>187.2</v>
      </c>
    </row>
    <row r="117" spans="1:15">
      <c r="A117" s="2048">
        <v>38</v>
      </c>
      <c r="B117" s="207" t="s">
        <v>97</v>
      </c>
      <c r="C117" s="203">
        <v>336808</v>
      </c>
      <c r="D117" s="196">
        <f>ROUND((C117*(1+'Løntabel gældende fra'!$D$7%)),0)</f>
        <v>371579</v>
      </c>
      <c r="E117" s="204">
        <v>338540</v>
      </c>
      <c r="F117" s="205">
        <f>ROUND((E117*(1+'Løntabel gældende fra'!$D$7%)),0)</f>
        <v>373490</v>
      </c>
      <c r="G117" s="203">
        <v>339739</v>
      </c>
      <c r="H117" s="196">
        <f>ROUND((G117*(1+'Løntabel gældende fra'!$D$7%)),0)</f>
        <v>374812</v>
      </c>
      <c r="I117" s="204">
        <v>341471</v>
      </c>
      <c r="J117" s="205">
        <f>ROUND((I117*(1+'Løntabel gældende fra'!$D$7%)),0)</f>
        <v>376723</v>
      </c>
      <c r="K117" s="203">
        <v>342672</v>
      </c>
      <c r="L117" s="196">
        <f>ROUND((K117*(1+'Løntabel gældende fra'!$D$7%)),0)</f>
        <v>378048</v>
      </c>
      <c r="M117" s="428"/>
      <c r="N117" s="406">
        <v>333128.88</v>
      </c>
      <c r="O117" s="210">
        <f>ROUND(N117*(1+'Løntabel gældende fra'!$D$7%),2)</f>
        <v>367519.77</v>
      </c>
    </row>
    <row r="118" spans="1:15">
      <c r="A118" s="2049"/>
      <c r="B118" s="412" t="s">
        <v>235</v>
      </c>
      <c r="C118" s="415"/>
      <c r="D118" s="422">
        <f>ROUND(D117/12,2)</f>
        <v>30964.92</v>
      </c>
      <c r="E118" s="419">
        <f>E117/12</f>
        <v>28211.666666666668</v>
      </c>
      <c r="F118" s="404">
        <f>ROUND(F117/12,2)</f>
        <v>31124.17</v>
      </c>
      <c r="G118" s="415">
        <f>G117/12</f>
        <v>28311.583333333332</v>
      </c>
      <c r="H118" s="422">
        <f>ROUND(H117/12,2)</f>
        <v>31234.33</v>
      </c>
      <c r="I118" s="419">
        <f>I117/12</f>
        <v>28455.916666666668</v>
      </c>
      <c r="J118" s="404">
        <f>ROUND(J117/12,2)</f>
        <v>31393.58</v>
      </c>
      <c r="K118" s="415">
        <f>K117/12</f>
        <v>28556</v>
      </c>
      <c r="L118" s="422">
        <f>ROUND(L117/12,2)</f>
        <v>31504</v>
      </c>
      <c r="M118" s="427"/>
      <c r="N118" s="405"/>
      <c r="O118" s="407">
        <f>ROUND(O117/12,2)</f>
        <v>30626.65</v>
      </c>
    </row>
    <row r="119" spans="1:15" ht="16" thickBot="1">
      <c r="A119" s="2050"/>
      <c r="B119" s="413" t="s">
        <v>229</v>
      </c>
      <c r="C119" s="200">
        <f>C117/12</f>
        <v>28067.333333333332</v>
      </c>
      <c r="D119" s="201">
        <f>ROUND(D118/160.33,2)</f>
        <v>193.13</v>
      </c>
      <c r="E119" s="420"/>
      <c r="F119" s="201">
        <f t="shared" ref="F119:O119" si="38">ROUND(F118/160.33,2)</f>
        <v>194.13</v>
      </c>
      <c r="G119" s="201">
        <f t="shared" si="38"/>
        <v>176.58</v>
      </c>
      <c r="H119" s="201">
        <f t="shared" si="38"/>
        <v>194.81</v>
      </c>
      <c r="I119" s="201">
        <f t="shared" si="38"/>
        <v>177.48</v>
      </c>
      <c r="J119" s="201">
        <f t="shared" si="38"/>
        <v>195.81</v>
      </c>
      <c r="K119" s="201">
        <f t="shared" si="38"/>
        <v>178.11</v>
      </c>
      <c r="L119" s="201">
        <f t="shared" si="38"/>
        <v>196.49</v>
      </c>
      <c r="M119" s="201">
        <f t="shared" si="38"/>
        <v>0</v>
      </c>
      <c r="N119" s="201">
        <f t="shared" si="38"/>
        <v>0</v>
      </c>
      <c r="O119" s="201">
        <f t="shared" si="38"/>
        <v>191.02</v>
      </c>
    </row>
    <row r="120" spans="1:15">
      <c r="A120" s="2051">
        <v>39</v>
      </c>
      <c r="B120" s="206" t="s">
        <v>97</v>
      </c>
      <c r="C120" s="195">
        <v>342821</v>
      </c>
      <c r="D120" s="199">
        <f>ROUND((C120*(1+'Løntabel gældende fra'!$D$7%)),0)</f>
        <v>378212</v>
      </c>
      <c r="E120" s="197">
        <v>344156</v>
      </c>
      <c r="F120" s="198">
        <f>ROUND((E120*(1+'Løntabel gældende fra'!$D$7%)),0)</f>
        <v>379685</v>
      </c>
      <c r="G120" s="195">
        <v>345080</v>
      </c>
      <c r="H120" s="199">
        <f>ROUND((G120*(1+'Løntabel gældende fra'!$D$7%)),0)</f>
        <v>380705</v>
      </c>
      <c r="I120" s="197">
        <v>346413</v>
      </c>
      <c r="J120" s="198">
        <f>ROUND((I120*(1+'Løntabel gældende fra'!$D$7%)),0)</f>
        <v>382175</v>
      </c>
      <c r="K120" s="195">
        <v>347337</v>
      </c>
      <c r="L120" s="199">
        <f>ROUND((K120*(1+'Løntabel gældende fra'!$D$7%)),0)</f>
        <v>383195</v>
      </c>
      <c r="M120" s="429"/>
      <c r="N120" s="408">
        <v>339989.41</v>
      </c>
      <c r="O120" s="409">
        <f>ROUND(N120*(1+'Løntabel gældende fra'!$D$7%),2)</f>
        <v>375088.56</v>
      </c>
    </row>
    <row r="121" spans="1:15">
      <c r="A121" s="2049"/>
      <c r="B121" s="412" t="s">
        <v>235</v>
      </c>
      <c r="C121" s="415"/>
      <c r="D121" s="422">
        <f>ROUND(D120/12,2)</f>
        <v>31517.67</v>
      </c>
      <c r="E121" s="419">
        <f>E120/12</f>
        <v>28679.666666666668</v>
      </c>
      <c r="F121" s="404">
        <f>ROUND(F120/12,2)</f>
        <v>31640.42</v>
      </c>
      <c r="G121" s="415">
        <f>G120/12</f>
        <v>28756.666666666668</v>
      </c>
      <c r="H121" s="422">
        <f>ROUND(H120/12,2)</f>
        <v>31725.42</v>
      </c>
      <c r="I121" s="419">
        <f>I120/12</f>
        <v>28867.75</v>
      </c>
      <c r="J121" s="404">
        <f>ROUND(J120/12,2)</f>
        <v>31847.919999999998</v>
      </c>
      <c r="K121" s="415">
        <f>K120/12</f>
        <v>28944.75</v>
      </c>
      <c r="L121" s="422">
        <f>ROUND(L120/12,2)</f>
        <v>31932.92</v>
      </c>
      <c r="M121" s="427"/>
      <c r="N121" s="405"/>
      <c r="O121" s="407">
        <f>ROUND(O120/12,2)</f>
        <v>31257.38</v>
      </c>
    </row>
    <row r="122" spans="1:15" ht="16" thickBot="1">
      <c r="A122" s="2052"/>
      <c r="B122" s="414" t="s">
        <v>229</v>
      </c>
      <c r="C122" s="418">
        <f>C120/12</f>
        <v>28568.416666666668</v>
      </c>
      <c r="D122" s="201">
        <f>ROUND(D121/160.33,2)</f>
        <v>196.58</v>
      </c>
      <c r="E122" s="421"/>
      <c r="F122" s="201">
        <f t="shared" ref="F122:O122" si="39">ROUND(F121/160.33,2)</f>
        <v>197.35</v>
      </c>
      <c r="G122" s="201">
        <f t="shared" si="39"/>
        <v>179.36</v>
      </c>
      <c r="H122" s="201">
        <f t="shared" si="39"/>
        <v>197.88</v>
      </c>
      <c r="I122" s="201">
        <f t="shared" si="39"/>
        <v>180.05</v>
      </c>
      <c r="J122" s="201">
        <f t="shared" si="39"/>
        <v>198.64</v>
      </c>
      <c r="K122" s="201">
        <f t="shared" si="39"/>
        <v>180.53</v>
      </c>
      <c r="L122" s="201">
        <f t="shared" si="39"/>
        <v>199.17</v>
      </c>
      <c r="M122" s="201">
        <f t="shared" si="39"/>
        <v>0</v>
      </c>
      <c r="N122" s="201">
        <f t="shared" si="39"/>
        <v>0</v>
      </c>
      <c r="O122" s="201">
        <f t="shared" si="39"/>
        <v>194.96</v>
      </c>
    </row>
    <row r="123" spans="1:15">
      <c r="A123" s="2048">
        <v>40</v>
      </c>
      <c r="B123" s="207" t="s">
        <v>97</v>
      </c>
      <c r="C123" s="203">
        <v>348966</v>
      </c>
      <c r="D123" s="196">
        <f>ROUND((C123*(1+'Løntabel gældende fra'!$D$7%)),0)</f>
        <v>384992</v>
      </c>
      <c r="E123" s="204">
        <v>349878</v>
      </c>
      <c r="F123" s="205">
        <f>ROUND((E123*(1+'Løntabel gældende fra'!$D$7%)),0)</f>
        <v>385998</v>
      </c>
      <c r="G123" s="203">
        <v>350510</v>
      </c>
      <c r="H123" s="196">
        <f>ROUND((G123*(1+'Løntabel gældende fra'!$D$7%)),0)</f>
        <v>386695</v>
      </c>
      <c r="I123" s="204">
        <v>351422</v>
      </c>
      <c r="J123" s="205">
        <f>ROUND((I123*(1+'Løntabel gældende fra'!$D$7%)),0)</f>
        <v>387701</v>
      </c>
      <c r="K123" s="203">
        <v>352054</v>
      </c>
      <c r="L123" s="196">
        <f>ROUND((K123*(1+'Løntabel gældende fra'!$D$7%)),0)</f>
        <v>388399</v>
      </c>
      <c r="M123" s="428"/>
      <c r="N123" s="406">
        <v>347027.46</v>
      </c>
      <c r="O123" s="210">
        <f>ROUND(N123*(1+'Løntabel gældende fra'!$D$7%),2)</f>
        <v>382853.19</v>
      </c>
    </row>
    <row r="124" spans="1:15">
      <c r="A124" s="2049"/>
      <c r="B124" s="412" t="s">
        <v>235</v>
      </c>
      <c r="C124" s="415"/>
      <c r="D124" s="422">
        <f>ROUND(D123/12,2)</f>
        <v>32082.67</v>
      </c>
      <c r="E124" s="419">
        <f>E123/12</f>
        <v>29156.5</v>
      </c>
      <c r="F124" s="404">
        <f>ROUND(F123/12,2)</f>
        <v>32166.5</v>
      </c>
      <c r="G124" s="415">
        <f>G123/12</f>
        <v>29209.166666666668</v>
      </c>
      <c r="H124" s="422">
        <f>ROUND(H123/12,2)</f>
        <v>32224.58</v>
      </c>
      <c r="I124" s="419">
        <f>I123/12</f>
        <v>29285.166666666668</v>
      </c>
      <c r="J124" s="404">
        <f>ROUND(J123/12,2)</f>
        <v>32308.42</v>
      </c>
      <c r="K124" s="415">
        <f>K123/12</f>
        <v>29337.833333333332</v>
      </c>
      <c r="L124" s="422">
        <f>ROUND(L123/12,2)</f>
        <v>32366.58</v>
      </c>
      <c r="M124" s="427"/>
      <c r="N124" s="405"/>
      <c r="O124" s="407">
        <f>ROUND(O123/12,2)</f>
        <v>31904.43</v>
      </c>
    </row>
    <row r="125" spans="1:15" ht="16" thickBot="1">
      <c r="A125" s="2050"/>
      <c r="B125" s="413" t="s">
        <v>229</v>
      </c>
      <c r="C125" s="200">
        <f>C123/12</f>
        <v>29080.5</v>
      </c>
      <c r="D125" s="201">
        <f>ROUND(D124/160.33,2)</f>
        <v>200.1</v>
      </c>
      <c r="E125" s="420"/>
      <c r="F125" s="201">
        <f t="shared" ref="F125:O125" si="40">ROUND(F124/160.33,2)</f>
        <v>200.63</v>
      </c>
      <c r="G125" s="201">
        <f t="shared" si="40"/>
        <v>182.18</v>
      </c>
      <c r="H125" s="201">
        <f t="shared" si="40"/>
        <v>200.99</v>
      </c>
      <c r="I125" s="201">
        <f t="shared" si="40"/>
        <v>182.66</v>
      </c>
      <c r="J125" s="201">
        <f t="shared" si="40"/>
        <v>201.51</v>
      </c>
      <c r="K125" s="201">
        <f t="shared" si="40"/>
        <v>182.98</v>
      </c>
      <c r="L125" s="201">
        <f t="shared" si="40"/>
        <v>201.87</v>
      </c>
      <c r="M125" s="201">
        <f t="shared" si="40"/>
        <v>0</v>
      </c>
      <c r="N125" s="201">
        <f t="shared" si="40"/>
        <v>0</v>
      </c>
      <c r="O125" s="201">
        <f t="shared" si="40"/>
        <v>198.99</v>
      </c>
    </row>
    <row r="126" spans="1:15">
      <c r="A126" s="2051">
        <v>41</v>
      </c>
      <c r="B126" s="206" t="s">
        <v>97</v>
      </c>
      <c r="C126" s="195">
        <v>355245</v>
      </c>
      <c r="D126" s="199">
        <f>ROUND((C126*(1+'Løntabel gældende fra'!$D$7%)),0)</f>
        <v>391919</v>
      </c>
      <c r="E126" s="197">
        <v>355712</v>
      </c>
      <c r="F126" s="198">
        <f>ROUND((E126*(1+'Løntabel gældende fra'!$D$7%)),0)</f>
        <v>392434</v>
      </c>
      <c r="G126" s="195">
        <v>356037</v>
      </c>
      <c r="H126" s="199">
        <f>ROUND((G126*(1+'Løntabel gældende fra'!$D$7%)),0)</f>
        <v>392793</v>
      </c>
      <c r="I126" s="197">
        <v>356505</v>
      </c>
      <c r="J126" s="198">
        <f>ROUND((I126*(1+'Løntabel gældende fra'!$D$7%)),0)</f>
        <v>393309</v>
      </c>
      <c r="K126" s="195">
        <v>356828</v>
      </c>
      <c r="L126" s="199">
        <f>ROUND((K126*(1+'Løntabel gældende fra'!$D$7%)),0)</f>
        <v>393665</v>
      </c>
      <c r="M126" s="429"/>
      <c r="N126" s="408">
        <v>354249.23</v>
      </c>
      <c r="O126" s="409">
        <f>ROUND(N126*(1+'Løntabel gældende fra'!$D$7%),2)</f>
        <v>390820.5</v>
      </c>
    </row>
    <row r="127" spans="1:15">
      <c r="A127" s="2049"/>
      <c r="B127" s="412" t="s">
        <v>235</v>
      </c>
      <c r="C127" s="415"/>
      <c r="D127" s="422">
        <f>ROUND(D126/12,2)</f>
        <v>32659.919999999998</v>
      </c>
      <c r="E127" s="419">
        <f>E126/12</f>
        <v>29642.666666666668</v>
      </c>
      <c r="F127" s="404">
        <f>ROUND(F126/12,2)</f>
        <v>32702.83</v>
      </c>
      <c r="G127" s="415">
        <f>G126/12</f>
        <v>29669.75</v>
      </c>
      <c r="H127" s="422">
        <f>ROUND(H126/12,2)</f>
        <v>32732.75</v>
      </c>
      <c r="I127" s="419">
        <f>I126/12</f>
        <v>29708.75</v>
      </c>
      <c r="J127" s="404">
        <f>ROUND(J126/12,2)</f>
        <v>32775.75</v>
      </c>
      <c r="K127" s="415">
        <f>K126/12</f>
        <v>29735.666666666668</v>
      </c>
      <c r="L127" s="422">
        <f>ROUND(L126/12,2)</f>
        <v>32805.42</v>
      </c>
      <c r="M127" s="427"/>
      <c r="N127" s="405"/>
      <c r="O127" s="407">
        <f>ROUND(O126/12,2)</f>
        <v>32568.38</v>
      </c>
    </row>
    <row r="128" spans="1:15" ht="16" thickBot="1">
      <c r="A128" s="2052"/>
      <c r="B128" s="414" t="s">
        <v>229</v>
      </c>
      <c r="C128" s="418">
        <f>C126/12</f>
        <v>29603.75</v>
      </c>
      <c r="D128" s="201">
        <f>ROUND(D127/160.33,2)</f>
        <v>203.7</v>
      </c>
      <c r="E128" s="421"/>
      <c r="F128" s="201">
        <f t="shared" ref="F128:O128" si="41">ROUND(F127/160.33,2)</f>
        <v>203.97</v>
      </c>
      <c r="G128" s="201">
        <f t="shared" si="41"/>
        <v>185.05</v>
      </c>
      <c r="H128" s="201">
        <f t="shared" si="41"/>
        <v>204.16</v>
      </c>
      <c r="I128" s="201">
        <f t="shared" si="41"/>
        <v>185.3</v>
      </c>
      <c r="J128" s="201">
        <f t="shared" si="41"/>
        <v>204.43</v>
      </c>
      <c r="K128" s="201">
        <f t="shared" si="41"/>
        <v>185.47</v>
      </c>
      <c r="L128" s="201">
        <f t="shared" si="41"/>
        <v>204.61</v>
      </c>
      <c r="M128" s="201">
        <f t="shared" si="41"/>
        <v>0</v>
      </c>
      <c r="N128" s="201">
        <f t="shared" si="41"/>
        <v>0</v>
      </c>
      <c r="O128" s="201">
        <f t="shared" si="41"/>
        <v>203.13</v>
      </c>
    </row>
    <row r="129" spans="1:15">
      <c r="A129" s="2048">
        <v>42</v>
      </c>
      <c r="B129" s="207" t="s">
        <v>97</v>
      </c>
      <c r="C129" s="203">
        <v>361660</v>
      </c>
      <c r="D129" s="196">
        <f>ROUND((C129*(1+'Løntabel gældende fra'!$D$7%)),0)</f>
        <v>398996</v>
      </c>
      <c r="E129" s="204">
        <v>361660</v>
      </c>
      <c r="F129" s="205">
        <f>ROUND((E129*(1+'Løntabel gældende fra'!$D$7%)),0)</f>
        <v>398996</v>
      </c>
      <c r="G129" s="203">
        <v>361660</v>
      </c>
      <c r="H129" s="196">
        <f>ROUND((G129*(1+'Løntabel gældende fra'!$D$7%)),0)</f>
        <v>398996</v>
      </c>
      <c r="I129" s="204">
        <v>361660</v>
      </c>
      <c r="J129" s="205">
        <f>ROUND((I129*(1+'Løntabel gældende fra'!$D$7%)),0)</f>
        <v>398996</v>
      </c>
      <c r="K129" s="203">
        <v>361660</v>
      </c>
      <c r="L129" s="196">
        <f>ROUND((K129*(1+'Løntabel gældende fra'!$D$7%)),0)</f>
        <v>398996</v>
      </c>
      <c r="M129" s="428"/>
      <c r="N129" s="406">
        <v>361659.2</v>
      </c>
      <c r="O129" s="210">
        <f>ROUND(N129*(1+'Løntabel gældende fra'!$D$7%),2)</f>
        <v>398995.45</v>
      </c>
    </row>
    <row r="130" spans="1:15">
      <c r="A130" s="2049"/>
      <c r="B130" s="412" t="s">
        <v>235</v>
      </c>
      <c r="C130" s="415"/>
      <c r="D130" s="422">
        <f>ROUND(D129/12,2)</f>
        <v>33249.67</v>
      </c>
      <c r="E130" s="419">
        <f>E129/12</f>
        <v>30138.333333333332</v>
      </c>
      <c r="F130" s="404">
        <f>ROUND(F129/12,2)</f>
        <v>33249.67</v>
      </c>
      <c r="G130" s="415">
        <f>G129/12</f>
        <v>30138.333333333332</v>
      </c>
      <c r="H130" s="422">
        <f>ROUND(H129/12,2)</f>
        <v>33249.67</v>
      </c>
      <c r="I130" s="419">
        <f>I129/12</f>
        <v>30138.333333333332</v>
      </c>
      <c r="J130" s="404">
        <f>ROUND(J129/12,2)</f>
        <v>33249.67</v>
      </c>
      <c r="K130" s="415">
        <f>K129/12</f>
        <v>30138.333333333332</v>
      </c>
      <c r="L130" s="422">
        <f>ROUND(L129/12,2)</f>
        <v>33249.67</v>
      </c>
      <c r="M130" s="427"/>
      <c r="N130" s="405"/>
      <c r="O130" s="407">
        <f>ROUND(O129/12,2)</f>
        <v>33249.620000000003</v>
      </c>
    </row>
    <row r="131" spans="1:15" ht="16" thickBot="1">
      <c r="A131" s="2050"/>
      <c r="B131" s="413" t="s">
        <v>229</v>
      </c>
      <c r="C131" s="200">
        <f>C129/12</f>
        <v>30138.333333333332</v>
      </c>
      <c r="D131" s="201">
        <f>ROUND(D130/160.33,2)</f>
        <v>207.38</v>
      </c>
      <c r="E131" s="420"/>
      <c r="F131" s="201">
        <f t="shared" ref="F131:O131" si="42">ROUND(F130/160.33,2)</f>
        <v>207.38</v>
      </c>
      <c r="G131" s="201">
        <f t="shared" si="42"/>
        <v>187.98</v>
      </c>
      <c r="H131" s="201">
        <f t="shared" si="42"/>
        <v>207.38</v>
      </c>
      <c r="I131" s="201">
        <f t="shared" si="42"/>
        <v>187.98</v>
      </c>
      <c r="J131" s="201">
        <f t="shared" si="42"/>
        <v>207.38</v>
      </c>
      <c r="K131" s="201">
        <f t="shared" si="42"/>
        <v>187.98</v>
      </c>
      <c r="L131" s="201">
        <f t="shared" si="42"/>
        <v>207.38</v>
      </c>
      <c r="M131" s="201">
        <f t="shared" si="42"/>
        <v>0</v>
      </c>
      <c r="N131" s="201">
        <f t="shared" si="42"/>
        <v>0</v>
      </c>
      <c r="O131" s="201">
        <f t="shared" si="42"/>
        <v>207.38</v>
      </c>
    </row>
    <row r="132" spans="1:15">
      <c r="A132" s="2051">
        <v>43</v>
      </c>
      <c r="B132" s="206" t="s">
        <v>97</v>
      </c>
      <c r="C132" s="195">
        <v>369689</v>
      </c>
      <c r="D132" s="199">
        <f>ROUND((C132*(1+'Løntabel gældende fra'!$D$7%)),0)</f>
        <v>407854</v>
      </c>
      <c r="E132" s="197">
        <v>369689</v>
      </c>
      <c r="F132" s="198">
        <f>ROUND((E132*(1+'Løntabel gældende fra'!$D$7%)),0)</f>
        <v>407854</v>
      </c>
      <c r="G132" s="195">
        <v>369689</v>
      </c>
      <c r="H132" s="199">
        <f>ROUND((G132*(1+'Løntabel gældende fra'!$D$7%)),0)</f>
        <v>407854</v>
      </c>
      <c r="I132" s="197">
        <v>369689</v>
      </c>
      <c r="J132" s="198">
        <f>ROUND((I132*(1+'Løntabel gældende fra'!$D$7%)),0)</f>
        <v>407854</v>
      </c>
      <c r="K132" s="195">
        <v>369689</v>
      </c>
      <c r="L132" s="199">
        <f>ROUND((K132*(1+'Løntabel gældende fra'!$D$7%)),0)</f>
        <v>407854</v>
      </c>
      <c r="M132" s="429"/>
      <c r="N132" s="408">
        <v>369688.53</v>
      </c>
      <c r="O132" s="409">
        <f>ROUND(N132*(1+'Løntabel gældende fra'!$D$7%),2)</f>
        <v>407853.7</v>
      </c>
    </row>
    <row r="133" spans="1:15">
      <c r="A133" s="2049"/>
      <c r="B133" s="412" t="s">
        <v>235</v>
      </c>
      <c r="C133" s="415"/>
      <c r="D133" s="422">
        <f>ROUND(D132/12,2)</f>
        <v>33987.83</v>
      </c>
      <c r="E133" s="419">
        <f>E132/12</f>
        <v>30807.416666666668</v>
      </c>
      <c r="F133" s="404">
        <f>ROUND(F132/12,2)</f>
        <v>33987.83</v>
      </c>
      <c r="G133" s="415">
        <f>G132/12</f>
        <v>30807.416666666668</v>
      </c>
      <c r="H133" s="422">
        <f>ROUND(H132/12,2)</f>
        <v>33987.83</v>
      </c>
      <c r="I133" s="419">
        <f>I132/12</f>
        <v>30807.416666666668</v>
      </c>
      <c r="J133" s="404">
        <f>ROUND(J132/12,2)</f>
        <v>33987.83</v>
      </c>
      <c r="K133" s="415">
        <f>K132/12</f>
        <v>30807.416666666668</v>
      </c>
      <c r="L133" s="422">
        <f>ROUND(L132/12,2)</f>
        <v>33987.83</v>
      </c>
      <c r="M133" s="427"/>
      <c r="N133" s="405"/>
      <c r="O133" s="407">
        <f>ROUND(O132/12,2)</f>
        <v>33987.81</v>
      </c>
    </row>
    <row r="134" spans="1:15" ht="16" thickBot="1">
      <c r="A134" s="2052"/>
      <c r="B134" s="414" t="s">
        <v>229</v>
      </c>
      <c r="C134" s="418">
        <f>C132/12</f>
        <v>30807.416666666668</v>
      </c>
      <c r="D134" s="201">
        <f>ROUND(D133/160.33,2)</f>
        <v>211.99</v>
      </c>
      <c r="E134" s="421"/>
      <c r="F134" s="201">
        <f t="shared" ref="F134:O134" si="43">ROUND(F133/160.33,2)</f>
        <v>211.99</v>
      </c>
      <c r="G134" s="201">
        <f t="shared" si="43"/>
        <v>192.15</v>
      </c>
      <c r="H134" s="201">
        <f t="shared" si="43"/>
        <v>211.99</v>
      </c>
      <c r="I134" s="201">
        <f t="shared" si="43"/>
        <v>192.15</v>
      </c>
      <c r="J134" s="201">
        <f t="shared" si="43"/>
        <v>211.99</v>
      </c>
      <c r="K134" s="201">
        <f t="shared" si="43"/>
        <v>192.15</v>
      </c>
      <c r="L134" s="201">
        <f t="shared" si="43"/>
        <v>211.99</v>
      </c>
      <c r="M134" s="201">
        <f t="shared" si="43"/>
        <v>0</v>
      </c>
      <c r="N134" s="201">
        <f t="shared" si="43"/>
        <v>0</v>
      </c>
      <c r="O134" s="201">
        <f t="shared" si="43"/>
        <v>211.99</v>
      </c>
    </row>
    <row r="135" spans="1:15">
      <c r="A135" s="2048">
        <v>44</v>
      </c>
      <c r="B135" s="207" t="s">
        <v>97</v>
      </c>
      <c r="C135" s="203">
        <v>377937</v>
      </c>
      <c r="D135" s="196">
        <f>ROUND((C135*(1+'Løntabel gældende fra'!$D$7%)),0)</f>
        <v>416954</v>
      </c>
      <c r="E135" s="204">
        <v>377937</v>
      </c>
      <c r="F135" s="205">
        <f>ROUND((E135*(1+'Løntabel gældende fra'!$D$7%)),0)</f>
        <v>416954</v>
      </c>
      <c r="G135" s="203">
        <v>377937</v>
      </c>
      <c r="H135" s="196">
        <f>ROUND((G135*(1+'Løntabel gældende fra'!$D$7%)),0)</f>
        <v>416954</v>
      </c>
      <c r="I135" s="204">
        <v>377937</v>
      </c>
      <c r="J135" s="205">
        <f>ROUND((I135*(1+'Løntabel gældende fra'!$D$7%)),0)</f>
        <v>416954</v>
      </c>
      <c r="K135" s="203">
        <v>377937</v>
      </c>
      <c r="L135" s="196">
        <f>ROUND((K135*(1+'Løntabel gældende fra'!$D$7%)),0)</f>
        <v>416954</v>
      </c>
      <c r="M135" s="428"/>
      <c r="N135" s="406">
        <v>377937.3</v>
      </c>
      <c r="O135" s="210">
        <f>ROUND(N135*(1+'Løntabel gældende fra'!$D$7%),2)</f>
        <v>416954.04</v>
      </c>
    </row>
    <row r="136" spans="1:15">
      <c r="A136" s="2049"/>
      <c r="B136" s="412" t="s">
        <v>235</v>
      </c>
      <c r="C136" s="415"/>
      <c r="D136" s="422">
        <f>ROUND(D135/12,2)</f>
        <v>34746.17</v>
      </c>
      <c r="E136" s="419">
        <f>E135/12</f>
        <v>31494.75</v>
      </c>
      <c r="F136" s="404">
        <f>ROUND(F135/12,2)</f>
        <v>34746.17</v>
      </c>
      <c r="G136" s="415">
        <f>G135/12</f>
        <v>31494.75</v>
      </c>
      <c r="H136" s="422">
        <f>ROUND(H135/12,2)</f>
        <v>34746.17</v>
      </c>
      <c r="I136" s="419">
        <f>I135/12</f>
        <v>31494.75</v>
      </c>
      <c r="J136" s="404">
        <f>ROUND(J135/12,2)</f>
        <v>34746.17</v>
      </c>
      <c r="K136" s="415">
        <f>K135/12</f>
        <v>31494.75</v>
      </c>
      <c r="L136" s="422">
        <f>ROUND(L135/12,2)</f>
        <v>34746.17</v>
      </c>
      <c r="M136" s="427"/>
      <c r="N136" s="405"/>
      <c r="O136" s="407">
        <f>ROUND(O135/12,2)</f>
        <v>34746.17</v>
      </c>
    </row>
    <row r="137" spans="1:15" ht="16" thickBot="1">
      <c r="A137" s="2050"/>
      <c r="B137" s="413" t="s">
        <v>229</v>
      </c>
      <c r="C137" s="200">
        <f>C135/12</f>
        <v>31494.75</v>
      </c>
      <c r="D137" s="201">
        <f>ROUND(D136/160.33,2)</f>
        <v>216.72</v>
      </c>
      <c r="E137" s="420"/>
      <c r="F137" s="201">
        <f t="shared" ref="F137:O137" si="44">ROUND(F136/160.33,2)</f>
        <v>216.72</v>
      </c>
      <c r="G137" s="201">
        <f t="shared" si="44"/>
        <v>196.44</v>
      </c>
      <c r="H137" s="201">
        <f t="shared" si="44"/>
        <v>216.72</v>
      </c>
      <c r="I137" s="201">
        <f t="shared" si="44"/>
        <v>196.44</v>
      </c>
      <c r="J137" s="201">
        <f t="shared" si="44"/>
        <v>216.72</v>
      </c>
      <c r="K137" s="201">
        <f t="shared" si="44"/>
        <v>196.44</v>
      </c>
      <c r="L137" s="201">
        <f t="shared" si="44"/>
        <v>216.72</v>
      </c>
      <c r="M137" s="201">
        <f t="shared" si="44"/>
        <v>0</v>
      </c>
      <c r="N137" s="201">
        <f t="shared" si="44"/>
        <v>0</v>
      </c>
      <c r="O137" s="201">
        <f t="shared" si="44"/>
        <v>216.72</v>
      </c>
    </row>
    <row r="138" spans="1:15">
      <c r="A138" s="2048">
        <v>45</v>
      </c>
      <c r="B138" s="207" t="s">
        <v>97</v>
      </c>
      <c r="C138" s="203">
        <v>386414</v>
      </c>
      <c r="D138" s="196">
        <f>ROUND((C138*(1+'Løntabel gældende fra'!$D$7%)),0)</f>
        <v>426306</v>
      </c>
      <c r="E138" s="204">
        <v>386414</v>
      </c>
      <c r="F138" s="205">
        <f>ROUND((E138*(1+'Løntabel gældende fra'!$D$7%)),0)</f>
        <v>426306</v>
      </c>
      <c r="G138" s="203">
        <v>386414</v>
      </c>
      <c r="H138" s="196">
        <f>ROUND((G138*(1+'Løntabel gældende fra'!$D$7%)),0)</f>
        <v>426306</v>
      </c>
      <c r="I138" s="204">
        <v>386414</v>
      </c>
      <c r="J138" s="205">
        <f>ROUND((I138*(1+'Løntabel gældende fra'!$D$7%)),0)</f>
        <v>426306</v>
      </c>
      <c r="K138" s="203">
        <v>386414</v>
      </c>
      <c r="L138" s="196">
        <f>ROUND((K138*(1+'Løntabel gældende fra'!$D$7%)),0)</f>
        <v>426306</v>
      </c>
      <c r="M138" s="428"/>
      <c r="N138" s="406">
        <v>386414.29</v>
      </c>
      <c r="O138" s="210">
        <f>ROUND(N138*(1+'Løntabel gældende fra'!$D$7%),2)</f>
        <v>426306.16</v>
      </c>
    </row>
    <row r="139" spans="1:15">
      <c r="A139" s="2049"/>
      <c r="B139" s="412" t="s">
        <v>235</v>
      </c>
      <c r="C139" s="415"/>
      <c r="D139" s="422">
        <f>ROUND(D138/12,2)</f>
        <v>35525.5</v>
      </c>
      <c r="E139" s="419">
        <f>E138/12</f>
        <v>32201.166666666668</v>
      </c>
      <c r="F139" s="404">
        <f>ROUND(F138/12,2)</f>
        <v>35525.5</v>
      </c>
      <c r="G139" s="415">
        <f>G138/12</f>
        <v>32201.166666666668</v>
      </c>
      <c r="H139" s="422">
        <f>ROUND(H138/12,2)</f>
        <v>35525.5</v>
      </c>
      <c r="I139" s="419">
        <f>I138/12</f>
        <v>32201.166666666668</v>
      </c>
      <c r="J139" s="404">
        <f>ROUND(J138/12,2)</f>
        <v>35525.5</v>
      </c>
      <c r="K139" s="415">
        <f>K138/12</f>
        <v>32201.166666666668</v>
      </c>
      <c r="L139" s="422">
        <f>ROUND(L138/12,2)</f>
        <v>35525.5</v>
      </c>
      <c r="M139" s="427"/>
      <c r="N139" s="405"/>
      <c r="O139" s="407">
        <f>ROUND(O138/12,2)</f>
        <v>35525.51</v>
      </c>
    </row>
    <row r="140" spans="1:15" ht="16" thickBot="1">
      <c r="A140" s="2050"/>
      <c r="B140" s="413" t="s">
        <v>229</v>
      </c>
      <c r="C140" s="200">
        <f>C138/12</f>
        <v>32201.166666666668</v>
      </c>
      <c r="D140" s="201">
        <f>ROUND(D139/160.33,2)</f>
        <v>221.58</v>
      </c>
      <c r="E140" s="420"/>
      <c r="F140" s="201">
        <f t="shared" ref="F140:O140" si="45">ROUND(F139/160.33,2)</f>
        <v>221.58</v>
      </c>
      <c r="G140" s="201">
        <f t="shared" si="45"/>
        <v>200.84</v>
      </c>
      <c r="H140" s="201">
        <f t="shared" si="45"/>
        <v>221.58</v>
      </c>
      <c r="I140" s="201">
        <f t="shared" si="45"/>
        <v>200.84</v>
      </c>
      <c r="J140" s="201">
        <f t="shared" si="45"/>
        <v>221.58</v>
      </c>
      <c r="K140" s="201">
        <f t="shared" si="45"/>
        <v>200.84</v>
      </c>
      <c r="L140" s="201">
        <f t="shared" si="45"/>
        <v>221.58</v>
      </c>
      <c r="M140" s="201">
        <f t="shared" si="45"/>
        <v>0</v>
      </c>
      <c r="N140" s="201">
        <f t="shared" si="45"/>
        <v>0</v>
      </c>
      <c r="O140" s="201">
        <f t="shared" si="45"/>
        <v>221.58</v>
      </c>
    </row>
    <row r="141" spans="1:15">
      <c r="A141" s="2048">
        <v>46</v>
      </c>
      <c r="B141" s="207" t="s">
        <v>97</v>
      </c>
      <c r="C141" s="203">
        <v>395125</v>
      </c>
      <c r="D141" s="196">
        <f>ROUND((C141*(1+'Løntabel gældende fra'!$D$7%)),0)</f>
        <v>435916</v>
      </c>
      <c r="E141" s="204">
        <v>395125</v>
      </c>
      <c r="F141" s="205">
        <f>ROUND((E141*(1+'Løntabel gældende fra'!$D$7%)),0)</f>
        <v>435916</v>
      </c>
      <c r="G141" s="203">
        <v>395125</v>
      </c>
      <c r="H141" s="196">
        <f>ROUND((G141*(1+'Løntabel gældende fra'!$D$7%)),0)</f>
        <v>435916</v>
      </c>
      <c r="I141" s="204">
        <v>395125</v>
      </c>
      <c r="J141" s="205">
        <f>ROUND((I141*(1+'Løntabel gældende fra'!$D$7%)),0)</f>
        <v>435916</v>
      </c>
      <c r="K141" s="203">
        <v>395125</v>
      </c>
      <c r="L141" s="196">
        <f>ROUND((K141*(1+'Løntabel gældende fra'!$D$7%)),0)</f>
        <v>435916</v>
      </c>
      <c r="M141" s="428"/>
      <c r="N141" s="406">
        <v>395124.74</v>
      </c>
      <c r="O141" s="210">
        <f>ROUND(N141*(1+'Løntabel gældende fra'!$D$7%),2)</f>
        <v>435915.84</v>
      </c>
    </row>
    <row r="142" spans="1:15">
      <c r="A142" s="2049"/>
      <c r="B142" s="412" t="s">
        <v>98</v>
      </c>
      <c r="C142" s="415"/>
      <c r="D142" s="422">
        <f>ROUND(D141/12,2)</f>
        <v>36326.33</v>
      </c>
      <c r="E142" s="419">
        <f>E141/12</f>
        <v>32927.083333333336</v>
      </c>
      <c r="F142" s="404">
        <f>ROUND(F141/12,2)</f>
        <v>36326.33</v>
      </c>
      <c r="G142" s="415">
        <f>G141/12</f>
        <v>32927.083333333336</v>
      </c>
      <c r="H142" s="422">
        <f>ROUND(H141/12,2)</f>
        <v>36326.33</v>
      </c>
      <c r="I142" s="419">
        <f>I141/12</f>
        <v>32927.083333333336</v>
      </c>
      <c r="J142" s="404">
        <f>ROUND(J141/12,2)</f>
        <v>36326.33</v>
      </c>
      <c r="K142" s="415">
        <f>K141/12</f>
        <v>32927.083333333336</v>
      </c>
      <c r="L142" s="422">
        <f>ROUND(L141/12,2)</f>
        <v>36326.33</v>
      </c>
      <c r="M142" s="427"/>
      <c r="N142" s="405"/>
      <c r="O142" s="407">
        <f>ROUND(O141/12,2)</f>
        <v>36326.32</v>
      </c>
    </row>
    <row r="143" spans="1:15" ht="16" thickBot="1">
      <c r="A143" s="2050"/>
      <c r="B143" s="413" t="s">
        <v>229</v>
      </c>
      <c r="C143" s="200">
        <f>C141/12</f>
        <v>32927.083333333336</v>
      </c>
      <c r="D143" s="201">
        <f>ROUND(D142/160.33,2)</f>
        <v>226.57</v>
      </c>
      <c r="E143" s="420"/>
      <c r="F143" s="201">
        <f t="shared" ref="F143:O143" si="46">ROUND(F142/160.33,2)</f>
        <v>226.57</v>
      </c>
      <c r="G143" s="201">
        <f t="shared" si="46"/>
        <v>205.37</v>
      </c>
      <c r="H143" s="201">
        <f t="shared" si="46"/>
        <v>226.57</v>
      </c>
      <c r="I143" s="201">
        <f t="shared" si="46"/>
        <v>205.37</v>
      </c>
      <c r="J143" s="201">
        <f t="shared" si="46"/>
        <v>226.57</v>
      </c>
      <c r="K143" s="201">
        <f t="shared" si="46"/>
        <v>205.37</v>
      </c>
      <c r="L143" s="201">
        <f t="shared" si="46"/>
        <v>226.57</v>
      </c>
      <c r="M143" s="201">
        <f t="shared" si="46"/>
        <v>0</v>
      </c>
      <c r="N143" s="201">
        <f t="shared" si="46"/>
        <v>0</v>
      </c>
      <c r="O143" s="201">
        <f t="shared" si="46"/>
        <v>226.57</v>
      </c>
    </row>
    <row r="144" spans="1:15">
      <c r="A144" s="2051">
        <v>47</v>
      </c>
      <c r="B144" s="206" t="s">
        <v>97</v>
      </c>
      <c r="C144" s="195">
        <v>413269</v>
      </c>
      <c r="D144" s="199">
        <f>ROUND((C144*(1+'Løntabel gældende fra'!$D$7%)),0)</f>
        <v>455933</v>
      </c>
      <c r="E144" s="197">
        <v>413269</v>
      </c>
      <c r="F144" s="198">
        <f>ROUND((E144*(1+'Løntabel gældende fra'!$D$7%)),0)</f>
        <v>455933</v>
      </c>
      <c r="G144" s="195">
        <v>413269</v>
      </c>
      <c r="H144" s="199">
        <f>ROUND((G144*(1+'Løntabel gældende fra'!$D$7%)),0)</f>
        <v>455933</v>
      </c>
      <c r="I144" s="197">
        <v>413269</v>
      </c>
      <c r="J144" s="198">
        <f>ROUND((I144*(1+'Løntabel gældende fra'!$D$7%)),0)</f>
        <v>455933</v>
      </c>
      <c r="K144" s="195">
        <v>413269</v>
      </c>
      <c r="L144" s="199">
        <f>ROUND((K144*(1+'Løntabel gældende fra'!$D$7%)),0)</f>
        <v>455933</v>
      </c>
      <c r="M144" s="429"/>
      <c r="N144" s="408">
        <v>413268.87</v>
      </c>
      <c r="O144" s="409">
        <f>ROUND(N144*(1+'Løntabel gældende fra'!$D$7%),2)</f>
        <v>455933.1</v>
      </c>
    </row>
    <row r="145" spans="1:15">
      <c r="A145" s="2049"/>
      <c r="B145" s="412" t="s">
        <v>235</v>
      </c>
      <c r="C145" s="415"/>
      <c r="D145" s="422">
        <f>ROUND(D144/12,2)</f>
        <v>37994.42</v>
      </c>
      <c r="E145" s="419">
        <f>E144/12</f>
        <v>34439.083333333336</v>
      </c>
      <c r="F145" s="404">
        <f>ROUND(F144/12,2)</f>
        <v>37994.42</v>
      </c>
      <c r="G145" s="415">
        <f>G144/12</f>
        <v>34439.083333333336</v>
      </c>
      <c r="H145" s="422">
        <f>ROUND(H144/12,2)</f>
        <v>37994.42</v>
      </c>
      <c r="I145" s="419">
        <f>I144/12</f>
        <v>34439.083333333336</v>
      </c>
      <c r="J145" s="404">
        <f>ROUND(J144/12,2)</f>
        <v>37994.42</v>
      </c>
      <c r="K145" s="415">
        <f>K144/12</f>
        <v>34439.083333333336</v>
      </c>
      <c r="L145" s="422">
        <f>ROUND(L144/12,2)</f>
        <v>37994.42</v>
      </c>
      <c r="M145" s="427"/>
      <c r="N145" s="405"/>
      <c r="O145" s="407">
        <f>ROUND(O144/12,2)</f>
        <v>37994.43</v>
      </c>
    </row>
    <row r="146" spans="1:15" ht="16" thickBot="1">
      <c r="A146" s="2052"/>
      <c r="B146" s="414" t="s">
        <v>229</v>
      </c>
      <c r="C146" s="418">
        <f>C144/12</f>
        <v>34439.083333333336</v>
      </c>
      <c r="D146" s="201">
        <f>ROUND(D145/160.33,2)</f>
        <v>236.98</v>
      </c>
      <c r="E146" s="421"/>
      <c r="F146" s="201">
        <f t="shared" ref="F146:O146" si="47">ROUND(F145/160.33,2)</f>
        <v>236.98</v>
      </c>
      <c r="G146" s="201">
        <f t="shared" si="47"/>
        <v>214.8</v>
      </c>
      <c r="H146" s="201">
        <f t="shared" si="47"/>
        <v>236.98</v>
      </c>
      <c r="I146" s="201">
        <f t="shared" si="47"/>
        <v>214.8</v>
      </c>
      <c r="J146" s="201">
        <f t="shared" si="47"/>
        <v>236.98</v>
      </c>
      <c r="K146" s="201">
        <f t="shared" si="47"/>
        <v>214.8</v>
      </c>
      <c r="L146" s="201">
        <f t="shared" si="47"/>
        <v>236.98</v>
      </c>
      <c r="M146" s="201">
        <f t="shared" si="47"/>
        <v>0</v>
      </c>
      <c r="N146" s="201">
        <f t="shared" si="47"/>
        <v>0</v>
      </c>
      <c r="O146" s="201">
        <f t="shared" si="47"/>
        <v>236.98</v>
      </c>
    </row>
    <row r="147" spans="1:15">
      <c r="A147" s="2048">
        <v>48</v>
      </c>
      <c r="B147" s="207" t="s">
        <v>97</v>
      </c>
      <c r="C147" s="203">
        <v>441027</v>
      </c>
      <c r="D147" s="196">
        <f>ROUND((C147*(1+'Løntabel gældende fra'!$D$7%)),0)</f>
        <v>486557</v>
      </c>
      <c r="E147" s="204">
        <v>441027</v>
      </c>
      <c r="F147" s="205">
        <f>ROUND((E147*(1+'Løntabel gældende fra'!$D$7%)),0)</f>
        <v>486557</v>
      </c>
      <c r="G147" s="203">
        <v>441027</v>
      </c>
      <c r="H147" s="196">
        <f>ROUND((G147*(1+'Løntabel gældende fra'!$D$7%)),0)</f>
        <v>486557</v>
      </c>
      <c r="I147" s="204">
        <v>441027</v>
      </c>
      <c r="J147" s="205">
        <f>ROUND((I147*(1+'Løntabel gældende fra'!$D$7%)),0)</f>
        <v>486557</v>
      </c>
      <c r="K147" s="203">
        <v>441027</v>
      </c>
      <c r="L147" s="196">
        <f>ROUND((K147*(1+'Løntabel gældende fra'!$D$7%)),0)</f>
        <v>486557</v>
      </c>
      <c r="M147" s="428"/>
      <c r="N147" s="406">
        <v>441025.75</v>
      </c>
      <c r="O147" s="210">
        <f>ROUND(N147*(1+'Løntabel gældende fra'!$D$7%),2)</f>
        <v>486555.48</v>
      </c>
    </row>
    <row r="148" spans="1:15">
      <c r="A148" s="2049"/>
      <c r="B148" s="412" t="s">
        <v>235</v>
      </c>
      <c r="C148" s="415"/>
      <c r="D148" s="422">
        <f>ROUND(D147/12,2)</f>
        <v>40546.42</v>
      </c>
      <c r="E148" s="419">
        <f>E147/12</f>
        <v>36752.25</v>
      </c>
      <c r="F148" s="404">
        <f>ROUND(F147/12,2)</f>
        <v>40546.42</v>
      </c>
      <c r="G148" s="415">
        <f>G147/12</f>
        <v>36752.25</v>
      </c>
      <c r="H148" s="422">
        <f>ROUND(H147/12,2)</f>
        <v>40546.42</v>
      </c>
      <c r="I148" s="419">
        <f>I147/12</f>
        <v>36752.25</v>
      </c>
      <c r="J148" s="404">
        <f>ROUND(J147/12,2)</f>
        <v>40546.42</v>
      </c>
      <c r="K148" s="415">
        <f>K147/12</f>
        <v>36752.25</v>
      </c>
      <c r="L148" s="422">
        <f>ROUND(L147/12,2)</f>
        <v>40546.42</v>
      </c>
      <c r="M148" s="427"/>
      <c r="N148" s="405"/>
      <c r="O148" s="407">
        <f>ROUND(O147/12,2)</f>
        <v>40546.29</v>
      </c>
    </row>
    <row r="149" spans="1:15" ht="16" thickBot="1">
      <c r="A149" s="2050"/>
      <c r="B149" s="413" t="s">
        <v>229</v>
      </c>
      <c r="C149" s="200">
        <f>C147/12</f>
        <v>36752.25</v>
      </c>
      <c r="D149" s="201">
        <f>ROUND(D148/160.33,2)</f>
        <v>252.89</v>
      </c>
      <c r="E149" s="420"/>
      <c r="F149" s="201">
        <f t="shared" ref="F149:O149" si="48">ROUND(F148/160.33,2)</f>
        <v>252.89</v>
      </c>
      <c r="G149" s="201">
        <f t="shared" si="48"/>
        <v>229.23</v>
      </c>
      <c r="H149" s="201">
        <f t="shared" si="48"/>
        <v>252.89</v>
      </c>
      <c r="I149" s="201">
        <f t="shared" si="48"/>
        <v>229.23</v>
      </c>
      <c r="J149" s="201">
        <f t="shared" si="48"/>
        <v>252.89</v>
      </c>
      <c r="K149" s="201">
        <f t="shared" si="48"/>
        <v>229.23</v>
      </c>
      <c r="L149" s="201">
        <f t="shared" si="48"/>
        <v>252.89</v>
      </c>
      <c r="M149" s="201">
        <f t="shared" si="48"/>
        <v>0</v>
      </c>
      <c r="N149" s="201">
        <f t="shared" si="48"/>
        <v>0</v>
      </c>
      <c r="O149" s="201">
        <f t="shared" si="48"/>
        <v>252.89</v>
      </c>
    </row>
    <row r="150" spans="1:15">
      <c r="A150" s="2051">
        <v>49</v>
      </c>
      <c r="B150" s="206" t="s">
        <v>97</v>
      </c>
      <c r="C150" s="195">
        <v>471781</v>
      </c>
      <c r="D150" s="199">
        <f>ROUND((C150*(1+'Løntabel gældende fra'!$D$7%)),0)</f>
        <v>520486</v>
      </c>
      <c r="E150" s="197">
        <v>471781</v>
      </c>
      <c r="F150" s="198">
        <f>ROUND((E150*(1+'Løntabel gældende fra'!$D$7%)),0)</f>
        <v>520486</v>
      </c>
      <c r="G150" s="195">
        <v>471781</v>
      </c>
      <c r="H150" s="199">
        <f>ROUND((G150*(1+'Løntabel gældende fra'!$D$7%)),0)</f>
        <v>520486</v>
      </c>
      <c r="I150" s="197">
        <v>471781</v>
      </c>
      <c r="J150" s="198">
        <f>ROUND((I150*(1+'Løntabel gældende fra'!$D$7%)),0)</f>
        <v>520486</v>
      </c>
      <c r="K150" s="195">
        <v>471781</v>
      </c>
      <c r="L150" s="199">
        <f>ROUND((K150*(1+'Løntabel gældende fra'!$D$7%)),0)</f>
        <v>520486</v>
      </c>
      <c r="M150" s="429"/>
      <c r="N150" s="408">
        <v>471780.9</v>
      </c>
      <c r="O150" s="409">
        <f>ROUND(N150*(1+'Løntabel gældende fra'!$D$7%),2)</f>
        <v>520485.67</v>
      </c>
    </row>
    <row r="151" spans="1:15">
      <c r="A151" s="2049"/>
      <c r="B151" s="412" t="s">
        <v>235</v>
      </c>
      <c r="C151" s="415"/>
      <c r="D151" s="422">
        <f>ROUND(D150/12,2)</f>
        <v>43373.83</v>
      </c>
      <c r="E151" s="419">
        <f>E150/12</f>
        <v>39315.083333333336</v>
      </c>
      <c r="F151" s="404">
        <f>ROUND(F150/12,2)</f>
        <v>43373.83</v>
      </c>
      <c r="G151" s="415">
        <f>G150/12</f>
        <v>39315.083333333336</v>
      </c>
      <c r="H151" s="422">
        <f>ROUND(H150/12,2)</f>
        <v>43373.83</v>
      </c>
      <c r="I151" s="419">
        <f>I150/12</f>
        <v>39315.083333333336</v>
      </c>
      <c r="J151" s="404">
        <f>ROUND(J150/12,2)</f>
        <v>43373.83</v>
      </c>
      <c r="K151" s="415">
        <f>K150/12</f>
        <v>39315.083333333336</v>
      </c>
      <c r="L151" s="422">
        <f>ROUND(L150/12,2)</f>
        <v>43373.83</v>
      </c>
      <c r="M151" s="427"/>
      <c r="N151" s="405"/>
      <c r="O151" s="407">
        <f>ROUND(O150/12,2)</f>
        <v>43373.81</v>
      </c>
    </row>
    <row r="152" spans="1:15" ht="16" thickBot="1">
      <c r="A152" s="2052"/>
      <c r="B152" s="414" t="s">
        <v>229</v>
      </c>
      <c r="C152" s="418">
        <f>C150/12</f>
        <v>39315.083333333336</v>
      </c>
      <c r="D152" s="201">
        <f>ROUND(D151/160.33,2)</f>
        <v>270.52999999999997</v>
      </c>
      <c r="E152" s="421"/>
      <c r="F152" s="201">
        <f t="shared" ref="F152:O152" si="49">ROUND(F151/160.33,2)</f>
        <v>270.52999999999997</v>
      </c>
      <c r="G152" s="201">
        <f t="shared" si="49"/>
        <v>245.21</v>
      </c>
      <c r="H152" s="201">
        <f t="shared" si="49"/>
        <v>270.52999999999997</v>
      </c>
      <c r="I152" s="201">
        <f t="shared" si="49"/>
        <v>245.21</v>
      </c>
      <c r="J152" s="201">
        <f t="shared" si="49"/>
        <v>270.52999999999997</v>
      </c>
      <c r="K152" s="201">
        <f t="shared" si="49"/>
        <v>245.21</v>
      </c>
      <c r="L152" s="201">
        <f t="shared" si="49"/>
        <v>270.52999999999997</v>
      </c>
      <c r="M152" s="201">
        <f t="shared" si="49"/>
        <v>0</v>
      </c>
      <c r="N152" s="201">
        <f t="shared" si="49"/>
        <v>0</v>
      </c>
      <c r="O152" s="201">
        <f t="shared" si="49"/>
        <v>270.52999999999997</v>
      </c>
    </row>
    <row r="153" spans="1:15">
      <c r="A153" s="2048">
        <v>50</v>
      </c>
      <c r="B153" s="207" t="s">
        <v>97</v>
      </c>
      <c r="C153" s="203">
        <v>521094</v>
      </c>
      <c r="D153" s="196">
        <f>ROUND((C153*(1+'Løntabel gældende fra'!$D$7%)),0)</f>
        <v>574890</v>
      </c>
      <c r="E153" s="204">
        <v>521094</v>
      </c>
      <c r="F153" s="205">
        <f>ROUND((E153*(1+'Løntabel gældende fra'!$D$7%)),0)</f>
        <v>574890</v>
      </c>
      <c r="G153" s="424">
        <v>521094</v>
      </c>
      <c r="H153" s="196">
        <f>ROUND((G153*(1+'Løntabel gældende fra'!$D$7%)),0)</f>
        <v>574890</v>
      </c>
      <c r="I153" s="425">
        <v>521094</v>
      </c>
      <c r="J153" s="205">
        <f>ROUND((I153*(1+'Løntabel gældende fra'!$D$7%)),0)</f>
        <v>574890</v>
      </c>
      <c r="K153" s="424">
        <v>521094</v>
      </c>
      <c r="L153" s="196">
        <f>ROUND((K153*(1+'Løntabel gældende fra'!$D$7%)),0)</f>
        <v>574890</v>
      </c>
      <c r="M153" s="428"/>
      <c r="N153" s="406">
        <v>521094.47</v>
      </c>
      <c r="O153" s="210">
        <f>ROUND(N153*(1+'Løntabel gældende fra'!$D$7%),2)</f>
        <v>574890.18000000005</v>
      </c>
    </row>
    <row r="154" spans="1:15">
      <c r="A154" s="2049"/>
      <c r="B154" s="412" t="s">
        <v>235</v>
      </c>
      <c r="C154" s="415"/>
      <c r="D154" s="422">
        <f>ROUND(D153/12,2)</f>
        <v>47907.5</v>
      </c>
      <c r="E154" s="419">
        <f>E153/12</f>
        <v>43424.5</v>
      </c>
      <c r="F154" s="404">
        <f>ROUND(F153/12,2)</f>
        <v>47907.5</v>
      </c>
      <c r="G154" s="415">
        <f>G153/12</f>
        <v>43424.5</v>
      </c>
      <c r="H154" s="422">
        <f>ROUND(H153/12,2)</f>
        <v>47907.5</v>
      </c>
      <c r="I154" s="419">
        <f>I153/12</f>
        <v>43424.5</v>
      </c>
      <c r="J154" s="404">
        <f>ROUND(J153/12,2)</f>
        <v>47907.5</v>
      </c>
      <c r="K154" s="415">
        <f>K153/12</f>
        <v>43424.5</v>
      </c>
      <c r="L154" s="422">
        <f>ROUND(L153/12,2)</f>
        <v>47907.5</v>
      </c>
      <c r="M154" s="427"/>
      <c r="N154" s="405"/>
      <c r="O154" s="407">
        <f>ROUND(O153/12,2)</f>
        <v>47907.519999999997</v>
      </c>
    </row>
    <row r="155" spans="1:15" ht="16" thickBot="1">
      <c r="A155" s="2050"/>
      <c r="B155" s="413" t="s">
        <v>229</v>
      </c>
      <c r="C155" s="200">
        <f>C153/12</f>
        <v>43424.5</v>
      </c>
      <c r="D155" s="201">
        <f>ROUND(D154/160.33,2)</f>
        <v>298.81</v>
      </c>
      <c r="E155" s="420"/>
      <c r="F155" s="201">
        <f t="shared" ref="F155:O155" si="50">ROUND(F154/160.33,2)</f>
        <v>298.81</v>
      </c>
      <c r="G155" s="201">
        <f t="shared" si="50"/>
        <v>270.83999999999997</v>
      </c>
      <c r="H155" s="201">
        <f t="shared" si="50"/>
        <v>298.81</v>
      </c>
      <c r="I155" s="201">
        <f t="shared" si="50"/>
        <v>270.83999999999997</v>
      </c>
      <c r="J155" s="201">
        <f t="shared" si="50"/>
        <v>298.81</v>
      </c>
      <c r="K155" s="201">
        <f t="shared" si="50"/>
        <v>270.83999999999997</v>
      </c>
      <c r="L155" s="201">
        <f t="shared" si="50"/>
        <v>298.81</v>
      </c>
      <c r="M155" s="201">
        <f t="shared" si="50"/>
        <v>0</v>
      </c>
      <c r="N155" s="201">
        <f t="shared" si="50"/>
        <v>0</v>
      </c>
      <c r="O155" s="201">
        <f t="shared" si="50"/>
        <v>298.81</v>
      </c>
    </row>
    <row r="156" spans="1:15">
      <c r="A156" s="2051">
        <v>51</v>
      </c>
      <c r="B156" s="206" t="s">
        <v>97</v>
      </c>
      <c r="C156" s="195">
        <v>592911</v>
      </c>
      <c r="D156" s="199">
        <f>ROUND((C156*(1+'Løntabel gældende fra'!$D$7%)),0)</f>
        <v>654121</v>
      </c>
      <c r="E156" s="197">
        <v>592911</v>
      </c>
      <c r="F156" s="198">
        <f>ROUND((E156*(1+'Løntabel gældende fra'!$D$7%)),0)</f>
        <v>654121</v>
      </c>
      <c r="G156" s="208">
        <v>592911</v>
      </c>
      <c r="H156" s="199">
        <f>ROUND((G156*(1+'Løntabel gældende fra'!$D$7%)),0)</f>
        <v>654121</v>
      </c>
      <c r="I156" s="209">
        <v>592911</v>
      </c>
      <c r="J156" s="198">
        <f>ROUND((I156*(1+'Løntabel gældende fra'!$D$7%)),0)</f>
        <v>654121</v>
      </c>
      <c r="K156" s="208">
        <v>592911</v>
      </c>
      <c r="L156" s="199">
        <f>ROUND((K156*(1+'Løntabel gældende fra'!$D$7%)),0)</f>
        <v>654121</v>
      </c>
      <c r="M156" s="429"/>
      <c r="N156" s="408">
        <v>592911.94999999995</v>
      </c>
      <c r="O156" s="409">
        <f>ROUND(N156*(1+'Løntabel gældende fra'!$D$7%),2)</f>
        <v>654121.81000000006</v>
      </c>
    </row>
    <row r="157" spans="1:15">
      <c r="A157" s="2049"/>
      <c r="B157" s="412" t="s">
        <v>98</v>
      </c>
      <c r="C157" s="415"/>
      <c r="D157" s="422">
        <f>ROUND(D156/12,2)</f>
        <v>54510.080000000002</v>
      </c>
      <c r="E157" s="419">
        <f>E156/12</f>
        <v>49409.25</v>
      </c>
      <c r="F157" s="404">
        <f>ROUND(F156/12,2)</f>
        <v>54510.080000000002</v>
      </c>
      <c r="G157" s="415">
        <f>G156/12</f>
        <v>49409.25</v>
      </c>
      <c r="H157" s="422">
        <f>ROUND(H156/12,2)</f>
        <v>54510.080000000002</v>
      </c>
      <c r="I157" s="419">
        <f>I156/12</f>
        <v>49409.25</v>
      </c>
      <c r="J157" s="404">
        <f>ROUND(J156/12,2)</f>
        <v>54510.080000000002</v>
      </c>
      <c r="K157" s="415">
        <f>K156/12</f>
        <v>49409.25</v>
      </c>
      <c r="L157" s="422">
        <f>ROUND(L156/12,2)</f>
        <v>54510.080000000002</v>
      </c>
      <c r="M157" s="427"/>
      <c r="N157" s="405"/>
      <c r="O157" s="407">
        <f>ROUND(O156/12,2)</f>
        <v>54510.15</v>
      </c>
    </row>
    <row r="158" spans="1:15" ht="16" thickBot="1">
      <c r="A158" s="2050"/>
      <c r="B158" s="413" t="s">
        <v>229</v>
      </c>
      <c r="C158" s="200">
        <f>C156/12</f>
        <v>49409.25</v>
      </c>
      <c r="D158" s="201">
        <f>ROUND(D157/160.33,2)</f>
        <v>339.99</v>
      </c>
      <c r="E158" s="420"/>
      <c r="F158" s="201">
        <f t="shared" ref="F158:O158" si="51">ROUND(F157/160.33,2)</f>
        <v>339.99</v>
      </c>
      <c r="G158" s="201">
        <f t="shared" si="51"/>
        <v>308.17</v>
      </c>
      <c r="H158" s="201">
        <f t="shared" si="51"/>
        <v>339.99</v>
      </c>
      <c r="I158" s="201">
        <f t="shared" si="51"/>
        <v>308.17</v>
      </c>
      <c r="J158" s="201">
        <f t="shared" si="51"/>
        <v>339.99</v>
      </c>
      <c r="K158" s="201">
        <f t="shared" si="51"/>
        <v>308.17</v>
      </c>
      <c r="L158" s="201">
        <f t="shared" si="51"/>
        <v>339.99</v>
      </c>
      <c r="M158" s="201">
        <f t="shared" si="51"/>
        <v>0</v>
      </c>
      <c r="N158" s="201">
        <f t="shared" si="51"/>
        <v>0</v>
      </c>
      <c r="O158" s="201">
        <f t="shared" si="51"/>
        <v>339.99</v>
      </c>
    </row>
  </sheetData>
  <sheetProtection sheet="1" objects="1" scenarios="1"/>
  <mergeCells count="54"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6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4"/>
  <sheetViews>
    <sheetView view="pageBreakPreview" zoomScale="125" zoomScaleNormal="125" zoomScalePageLayoutView="125" workbookViewId="0">
      <selection activeCell="C5" sqref="C5"/>
    </sheetView>
  </sheetViews>
  <sheetFormatPr baseColWidth="10" defaultColWidth="11.33203125" defaultRowHeight="15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>
      <c r="A1" t="s">
        <v>31</v>
      </c>
      <c r="C1" s="5"/>
      <c r="D1" s="658" t="s">
        <v>517</v>
      </c>
    </row>
    <row r="3" spans="1:9" ht="20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6">
      <c r="A7" s="2065" t="s">
        <v>29</v>
      </c>
      <c r="B7" s="2065"/>
      <c r="C7" s="646">
        <v>43922</v>
      </c>
      <c r="D7" s="30">
        <v>10.323600000000001</v>
      </c>
      <c r="E7" s="29" t="s">
        <v>33</v>
      </c>
      <c r="F7" s="29"/>
      <c r="G7" s="144">
        <v>44228</v>
      </c>
      <c r="H7" s="2"/>
      <c r="I7" s="2"/>
    </row>
    <row r="8" spans="1:9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2066" t="s">
        <v>32</v>
      </c>
      <c r="D10" s="2067"/>
      <c r="E10" s="2067"/>
      <c r="F10" s="2067"/>
      <c r="G10" s="2067"/>
      <c r="H10" s="2"/>
      <c r="I10" s="2"/>
    </row>
    <row r="11" spans="1:9">
      <c r="A11" s="220">
        <v>40999</v>
      </c>
      <c r="B11" s="31">
        <v>1</v>
      </c>
      <c r="C11" s="2066"/>
      <c r="D11" s="2067"/>
      <c r="E11" s="2067"/>
      <c r="F11" s="2067"/>
      <c r="G11" s="2067"/>
      <c r="H11" s="2"/>
      <c r="I11" s="2"/>
    </row>
    <row r="12" spans="1:9">
      <c r="A12" s="96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>
      <c r="A13" s="96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>
      <c r="A14" s="221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21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21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21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21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>
      <c r="A19" s="798">
        <v>43191</v>
      </c>
      <c r="B19" s="799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798">
        <v>43373</v>
      </c>
      <c r="B20" s="799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798">
        <v>43556</v>
      </c>
      <c r="B21" s="799">
        <v>8.4910999999999994</v>
      </c>
      <c r="C21" s="20"/>
      <c r="D21" s="20"/>
      <c r="E21" s="20"/>
      <c r="F21" s="20"/>
      <c r="G21" s="20"/>
      <c r="H21" s="2"/>
      <c r="I21" s="2"/>
    </row>
    <row r="22" spans="1:12" ht="16" thickBot="1">
      <c r="A22" s="822">
        <v>43739</v>
      </c>
      <c r="B22" s="823">
        <v>9.4007000000000005</v>
      </c>
      <c r="C22" s="20"/>
      <c r="D22" s="20"/>
      <c r="E22" s="20"/>
      <c r="F22" s="20"/>
      <c r="G22" s="20"/>
      <c r="H22" s="2"/>
      <c r="I22" s="2"/>
    </row>
    <row r="23" spans="1:12" ht="16" thickBot="1">
      <c r="A23" s="822" t="s">
        <v>516</v>
      </c>
      <c r="B23" s="823">
        <v>10.323600000000001</v>
      </c>
      <c r="C23" s="20"/>
      <c r="D23" s="20"/>
      <c r="E23" s="20"/>
      <c r="F23" s="20"/>
      <c r="G23" s="20"/>
      <c r="H23" s="2"/>
      <c r="I23" s="2"/>
    </row>
    <row r="24" spans="1:12">
      <c r="A24" s="1009"/>
      <c r="B24" s="104"/>
      <c r="C24" s="20"/>
      <c r="D24" s="20"/>
      <c r="E24" s="20"/>
      <c r="F24" s="20"/>
      <c r="G24" s="20"/>
      <c r="H24" s="2"/>
      <c r="I24" s="2"/>
    </row>
  </sheetData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3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27" zoomScale="130" zoomScaleNormal="130" workbookViewId="0">
      <selection activeCell="B1" sqref="B1:I2"/>
    </sheetView>
  </sheetViews>
  <sheetFormatPr baseColWidth="10" defaultColWidth="11.33203125" defaultRowHeight="15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>
      <c r="A1" s="1100" t="s">
        <v>284</v>
      </c>
      <c r="B1" s="1106" t="s">
        <v>276</v>
      </c>
      <c r="C1" s="1106"/>
      <c r="D1" s="1106"/>
      <c r="E1" s="1106"/>
      <c r="F1" s="1106"/>
      <c r="G1" s="1106"/>
      <c r="H1" s="1106"/>
      <c r="I1" s="1107"/>
    </row>
    <row r="2" spans="1:9" ht="16" thickBot="1">
      <c r="A2" s="1101"/>
      <c r="B2" s="1108"/>
      <c r="C2" s="1108"/>
      <c r="D2" s="1108"/>
      <c r="E2" s="1108"/>
      <c r="F2" s="1108"/>
      <c r="G2" s="1108"/>
      <c r="H2" s="1108"/>
      <c r="I2" s="1109"/>
    </row>
    <row r="3" spans="1:9" ht="42" customHeight="1" thickBot="1">
      <c r="A3" s="1101"/>
      <c r="B3" s="1092" t="s">
        <v>287</v>
      </c>
      <c r="C3" s="1093"/>
      <c r="D3" s="1093"/>
      <c r="E3" s="1093"/>
      <c r="F3" s="1093"/>
      <c r="G3" s="1093"/>
      <c r="H3" s="1093"/>
      <c r="I3" s="1094"/>
    </row>
    <row r="4" spans="1:9" ht="15" customHeight="1">
      <c r="A4" s="1101"/>
      <c r="B4" s="523" t="s">
        <v>274</v>
      </c>
      <c r="C4" s="553" t="s">
        <v>259</v>
      </c>
      <c r="D4" s="554" t="s">
        <v>260</v>
      </c>
      <c r="E4" s="554" t="s">
        <v>261</v>
      </c>
      <c r="F4" s="553" t="s">
        <v>262</v>
      </c>
      <c r="G4" s="1084" t="s">
        <v>291</v>
      </c>
      <c r="H4" s="1084" t="s">
        <v>293</v>
      </c>
      <c r="I4" s="1086" t="s">
        <v>267</v>
      </c>
    </row>
    <row r="5" spans="1:9" ht="31" thickBot="1">
      <c r="A5" s="1101"/>
      <c r="B5" s="524" t="s">
        <v>273</v>
      </c>
      <c r="C5" s="555" t="s">
        <v>278</v>
      </c>
      <c r="D5" s="555" t="s">
        <v>279</v>
      </c>
      <c r="E5" s="555" t="s">
        <v>280</v>
      </c>
      <c r="F5" s="555" t="s">
        <v>281</v>
      </c>
      <c r="G5" s="1085"/>
      <c r="H5" s="1085"/>
      <c r="I5" s="1087"/>
    </row>
    <row r="6" spans="1:9">
      <c r="A6" s="1101"/>
      <c r="B6" s="539" t="s">
        <v>263</v>
      </c>
      <c r="C6" s="547" t="s">
        <v>264</v>
      </c>
      <c r="D6" s="547" t="s">
        <v>264</v>
      </c>
      <c r="E6" s="547" t="s">
        <v>264</v>
      </c>
      <c r="F6" s="547" t="s">
        <v>264</v>
      </c>
      <c r="G6" s="518" t="s">
        <v>269</v>
      </c>
      <c r="H6" s="518" t="s">
        <v>269</v>
      </c>
      <c r="I6" s="519" t="s">
        <v>269</v>
      </c>
    </row>
    <row r="7" spans="1:9">
      <c r="A7" s="1101"/>
      <c r="B7" s="540" t="s">
        <v>286</v>
      </c>
      <c r="C7" s="545" t="s">
        <v>264</v>
      </c>
      <c r="D7" s="545" t="s">
        <v>264</v>
      </c>
      <c r="E7" s="545" t="s">
        <v>264</v>
      </c>
      <c r="F7" s="545" t="s">
        <v>264</v>
      </c>
      <c r="G7" s="545" t="s">
        <v>270</v>
      </c>
      <c r="H7" s="517" t="s">
        <v>269</v>
      </c>
      <c r="I7" s="520" t="s">
        <v>270</v>
      </c>
    </row>
    <row r="8" spans="1:9">
      <c r="A8" s="1101"/>
      <c r="B8" s="540" t="s">
        <v>13</v>
      </c>
      <c r="C8" s="545" t="s">
        <v>264</v>
      </c>
      <c r="D8" s="545" t="s">
        <v>264</v>
      </c>
      <c r="E8" s="545" t="s">
        <v>264</v>
      </c>
      <c r="F8" s="545" t="s">
        <v>264</v>
      </c>
      <c r="G8" s="545" t="s">
        <v>269</v>
      </c>
      <c r="H8" s="545" t="s">
        <v>270</v>
      </c>
      <c r="I8" s="520" t="s">
        <v>269</v>
      </c>
    </row>
    <row r="9" spans="1:9">
      <c r="A9" s="1101"/>
      <c r="B9" s="540" t="s">
        <v>265</v>
      </c>
      <c r="C9" s="545" t="s">
        <v>264</v>
      </c>
      <c r="D9" s="545" t="s">
        <v>264</v>
      </c>
      <c r="E9" s="545" t="s">
        <v>264</v>
      </c>
      <c r="F9" s="545"/>
      <c r="G9" s="545" t="s">
        <v>270</v>
      </c>
      <c r="H9" s="545" t="s">
        <v>269</v>
      </c>
      <c r="I9" s="520" t="s">
        <v>269</v>
      </c>
    </row>
    <row r="10" spans="1:9">
      <c r="A10" s="1101"/>
      <c r="B10" s="540" t="s">
        <v>266</v>
      </c>
      <c r="C10" s="545" t="s">
        <v>264</v>
      </c>
      <c r="D10" s="545" t="s">
        <v>264</v>
      </c>
      <c r="E10" s="545" t="s">
        <v>264</v>
      </c>
      <c r="F10" s="545" t="s">
        <v>264</v>
      </c>
      <c r="G10" s="545" t="s">
        <v>269</v>
      </c>
      <c r="H10" s="545" t="s">
        <v>269</v>
      </c>
      <c r="I10" s="520" t="s">
        <v>269</v>
      </c>
    </row>
    <row r="11" spans="1:9">
      <c r="A11" s="1101"/>
      <c r="B11" s="540" t="s">
        <v>451</v>
      </c>
      <c r="C11" s="794" t="s">
        <v>264</v>
      </c>
      <c r="D11" s="794" t="s">
        <v>264</v>
      </c>
      <c r="E11" s="794" t="s">
        <v>264</v>
      </c>
      <c r="F11" s="794" t="s">
        <v>264</v>
      </c>
      <c r="G11" s="795" t="s">
        <v>269</v>
      </c>
      <c r="H11" s="795" t="s">
        <v>269</v>
      </c>
      <c r="I11" s="796" t="s">
        <v>269</v>
      </c>
    </row>
    <row r="12" spans="1:9">
      <c r="A12" s="1101"/>
      <c r="B12" s="1081" t="s">
        <v>299</v>
      </c>
      <c r="C12" s="1082"/>
      <c r="D12" s="1082"/>
      <c r="E12" s="1082"/>
      <c r="F12" s="1082" t="s">
        <v>272</v>
      </c>
      <c r="G12" s="1088" t="s">
        <v>269</v>
      </c>
      <c r="H12" s="1088" t="s">
        <v>269</v>
      </c>
      <c r="I12" s="1090" t="s">
        <v>269</v>
      </c>
    </row>
    <row r="13" spans="1:9">
      <c r="A13" s="1101"/>
      <c r="B13" s="1081"/>
      <c r="C13" s="1082"/>
      <c r="D13" s="1082"/>
      <c r="E13" s="1082"/>
      <c r="F13" s="1082"/>
      <c r="G13" s="1089"/>
      <c r="H13" s="1089"/>
      <c r="I13" s="1091"/>
    </row>
    <row r="14" spans="1:9" ht="32">
      <c r="A14" s="1101"/>
      <c r="B14" s="544" t="s">
        <v>304</v>
      </c>
      <c r="C14" s="545" t="s">
        <v>272</v>
      </c>
      <c r="D14" s="545" t="s">
        <v>272</v>
      </c>
      <c r="E14" s="545" t="s">
        <v>272</v>
      </c>
      <c r="F14" s="545" t="s">
        <v>272</v>
      </c>
      <c r="G14" s="547" t="s">
        <v>269</v>
      </c>
      <c r="H14" s="547" t="s">
        <v>269</v>
      </c>
      <c r="I14" s="548" t="s">
        <v>269</v>
      </c>
    </row>
    <row r="15" spans="1:9">
      <c r="A15" s="1101"/>
      <c r="B15" s="540" t="s">
        <v>275</v>
      </c>
      <c r="C15" s="545" t="s">
        <v>264</v>
      </c>
      <c r="D15" s="545" t="s">
        <v>264</v>
      </c>
      <c r="E15" s="545" t="s">
        <v>264</v>
      </c>
      <c r="F15" s="545" t="s">
        <v>264</v>
      </c>
      <c r="G15" s="545" t="s">
        <v>269</v>
      </c>
      <c r="H15" s="545" t="s">
        <v>270</v>
      </c>
      <c r="I15" s="520" t="s">
        <v>269</v>
      </c>
    </row>
    <row r="16" spans="1:9">
      <c r="A16" s="1101"/>
      <c r="B16" s="1114" t="s">
        <v>361</v>
      </c>
      <c r="C16" s="1083" t="s">
        <v>264</v>
      </c>
      <c r="D16" s="1082" t="s">
        <v>264</v>
      </c>
      <c r="E16" s="1082" t="s">
        <v>264</v>
      </c>
      <c r="F16" s="1083" t="s">
        <v>264</v>
      </c>
      <c r="G16" s="1088" t="s">
        <v>270</v>
      </c>
      <c r="H16" s="1088" t="s">
        <v>270</v>
      </c>
      <c r="I16" s="1090" t="s">
        <v>269</v>
      </c>
    </row>
    <row r="17" spans="1:9" ht="1" customHeight="1">
      <c r="A17" s="1101"/>
      <c r="B17" s="1114"/>
      <c r="C17" s="1083"/>
      <c r="D17" s="1082"/>
      <c r="E17" s="1082"/>
      <c r="F17" s="1083"/>
      <c r="G17" s="1089"/>
      <c r="H17" s="1089"/>
      <c r="I17" s="1091"/>
    </row>
    <row r="18" spans="1:9" ht="45">
      <c r="A18" s="1101"/>
      <c r="B18" s="540" t="s">
        <v>288</v>
      </c>
      <c r="C18" s="545" t="s">
        <v>264</v>
      </c>
      <c r="D18" s="545" t="s">
        <v>264</v>
      </c>
      <c r="E18" s="545" t="s">
        <v>264</v>
      </c>
      <c r="F18" s="545" t="s">
        <v>264</v>
      </c>
      <c r="G18" s="675" t="s">
        <v>358</v>
      </c>
      <c r="H18" s="545" t="s">
        <v>270</v>
      </c>
      <c r="I18" s="520" t="s">
        <v>269</v>
      </c>
    </row>
    <row r="19" spans="1:9">
      <c r="A19" s="1101"/>
      <c r="B19" s="540" t="s">
        <v>68</v>
      </c>
      <c r="C19" s="545" t="s">
        <v>264</v>
      </c>
      <c r="D19" s="545" t="s">
        <v>264</v>
      </c>
      <c r="E19" s="545" t="s">
        <v>264</v>
      </c>
      <c r="F19" s="545" t="s">
        <v>264</v>
      </c>
      <c r="G19" s="545" t="s">
        <v>270</v>
      </c>
      <c r="H19" s="546" t="s">
        <v>270</v>
      </c>
      <c r="I19" s="520" t="s">
        <v>270</v>
      </c>
    </row>
    <row r="20" spans="1:9">
      <c r="A20" s="1101"/>
      <c r="B20" s="540" t="s">
        <v>271</v>
      </c>
      <c r="C20" s="545" t="s">
        <v>264</v>
      </c>
      <c r="D20" s="545" t="s">
        <v>264</v>
      </c>
      <c r="E20" s="545" t="s">
        <v>264</v>
      </c>
      <c r="F20" s="545" t="s">
        <v>264</v>
      </c>
      <c r="G20" s="545" t="s">
        <v>269</v>
      </c>
      <c r="H20" s="1112" t="s">
        <v>292</v>
      </c>
      <c r="I20" s="520" t="s">
        <v>269</v>
      </c>
    </row>
    <row r="21" spans="1:9" ht="16" thickBot="1">
      <c r="A21" s="1101"/>
      <c r="B21" s="541" t="s">
        <v>268</v>
      </c>
      <c r="C21" s="521" t="s">
        <v>264</v>
      </c>
      <c r="D21" s="521" t="s">
        <v>264</v>
      </c>
      <c r="E21" s="521" t="s">
        <v>264</v>
      </c>
      <c r="F21" s="521" t="s">
        <v>264</v>
      </c>
      <c r="G21" s="521" t="s">
        <v>269</v>
      </c>
      <c r="H21" s="1113"/>
      <c r="I21" s="522" t="s">
        <v>269</v>
      </c>
    </row>
    <row r="22" spans="1:9">
      <c r="A22" s="1101"/>
      <c r="B22" s="542" t="s">
        <v>250</v>
      </c>
      <c r="C22" s="532"/>
      <c r="D22" s="532"/>
      <c r="E22" s="533"/>
      <c r="F22" s="533"/>
      <c r="G22" s="534"/>
      <c r="H22" s="534"/>
      <c r="I22" s="535"/>
    </row>
    <row r="23" spans="1:9">
      <c r="A23" s="1101"/>
      <c r="B23" s="549" t="s">
        <v>251</v>
      </c>
      <c r="C23" s="549"/>
      <c r="D23" s="549"/>
      <c r="E23" s="550"/>
      <c r="F23" s="550"/>
      <c r="G23" s="59"/>
      <c r="H23" s="59"/>
      <c r="I23" s="536"/>
    </row>
    <row r="24" spans="1:9">
      <c r="A24" s="1101"/>
      <c r="B24" s="549" t="s">
        <v>496</v>
      </c>
      <c r="C24" s="549"/>
      <c r="D24" s="549"/>
      <c r="E24" s="550"/>
      <c r="F24" s="550"/>
      <c r="G24" s="59"/>
      <c r="H24" s="59"/>
      <c r="I24" s="536"/>
    </row>
    <row r="25" spans="1:9">
      <c r="A25" s="1101"/>
      <c r="B25" s="1110" t="s">
        <v>497</v>
      </c>
      <c r="C25" s="1110"/>
      <c r="D25" s="1110"/>
      <c r="E25" s="1110"/>
      <c r="F25" s="1110"/>
      <c r="G25" s="1110"/>
      <c r="H25" s="1110"/>
      <c r="I25" s="1111"/>
    </row>
    <row r="26" spans="1:9">
      <c r="A26" s="1101"/>
      <c r="B26" s="1110"/>
      <c r="C26" s="1110"/>
      <c r="D26" s="1110"/>
      <c r="E26" s="1110"/>
      <c r="F26" s="1110"/>
      <c r="G26" s="1110"/>
      <c r="H26" s="1110"/>
      <c r="I26" s="1111"/>
    </row>
    <row r="27" spans="1:9" ht="16" thickBot="1">
      <c r="A27" s="1102"/>
      <c r="B27" s="537"/>
      <c r="C27" s="537"/>
      <c r="D27" s="537"/>
      <c r="E27" s="537"/>
      <c r="F27" s="537"/>
      <c r="G27" s="537"/>
      <c r="H27" s="537"/>
      <c r="I27" s="538"/>
    </row>
    <row r="28" spans="1:9">
      <c r="B28" s="525"/>
      <c r="C28" s="525"/>
      <c r="D28" s="525"/>
      <c r="E28" s="525"/>
      <c r="F28" s="525"/>
      <c r="G28" s="525"/>
      <c r="H28" s="525"/>
      <c r="I28" s="525"/>
    </row>
    <row r="29" spans="1:9" ht="16" thickBot="1">
      <c r="B29" s="512"/>
      <c r="C29" s="512"/>
      <c r="D29" s="512"/>
      <c r="E29" s="80"/>
      <c r="F29" s="515"/>
      <c r="G29" s="516"/>
      <c r="H29" s="516"/>
      <c r="I29" s="516"/>
    </row>
    <row r="30" spans="1:9" ht="22" customHeight="1" thickBot="1">
      <c r="A30" s="1100" t="s">
        <v>283</v>
      </c>
      <c r="B30" s="1098" t="s">
        <v>277</v>
      </c>
      <c r="C30" s="1098"/>
      <c r="D30" s="1098"/>
      <c r="E30" s="1098"/>
      <c r="F30" s="1098"/>
      <c r="G30" s="1098"/>
      <c r="H30" s="1098"/>
      <c r="I30" s="1099"/>
    </row>
    <row r="31" spans="1:9" ht="37" customHeight="1" thickBot="1">
      <c r="A31" s="1101"/>
      <c r="B31" s="1095" t="s">
        <v>285</v>
      </c>
      <c r="C31" s="1096"/>
      <c r="D31" s="1096"/>
      <c r="E31" s="1096"/>
      <c r="F31" s="1096"/>
      <c r="G31" s="1096"/>
      <c r="H31" s="1096"/>
      <c r="I31" s="1097"/>
    </row>
    <row r="32" spans="1:9" ht="17" thickBot="1">
      <c r="A32" s="1101"/>
      <c r="B32" s="526" t="s">
        <v>295</v>
      </c>
      <c r="C32" s="526"/>
      <c r="D32" s="526"/>
      <c r="E32" s="526"/>
      <c r="F32" s="526"/>
      <c r="G32" s="1069" t="s">
        <v>57</v>
      </c>
      <c r="H32" s="1070"/>
      <c r="I32" s="1071"/>
    </row>
    <row r="33" spans="1:11">
      <c r="A33" s="1101"/>
      <c r="B33" s="527" t="s">
        <v>253</v>
      </c>
      <c r="C33" s="527"/>
      <c r="D33" s="527"/>
      <c r="E33" s="527"/>
      <c r="F33" s="527"/>
      <c r="G33" s="1066" t="s">
        <v>289</v>
      </c>
      <c r="H33" s="1067"/>
      <c r="I33" s="1068"/>
    </row>
    <row r="34" spans="1:11">
      <c r="A34" s="1101"/>
      <c r="B34" s="528" t="s">
        <v>305</v>
      </c>
      <c r="C34" s="528"/>
      <c r="D34" s="528"/>
      <c r="E34" s="528"/>
      <c r="F34" s="528"/>
      <c r="G34" s="1072" t="s">
        <v>290</v>
      </c>
      <c r="H34" s="1073"/>
      <c r="I34" s="1074"/>
    </row>
    <row r="35" spans="1:11" ht="16" thickBot="1">
      <c r="A35" s="1101"/>
      <c r="B35" s="529" t="s">
        <v>306</v>
      </c>
      <c r="C35" s="529"/>
      <c r="D35" s="529"/>
      <c r="E35" s="529"/>
      <c r="F35" s="529"/>
      <c r="G35" s="1060">
        <v>48</v>
      </c>
      <c r="H35" s="1061"/>
      <c r="I35" s="1062"/>
    </row>
    <row r="36" spans="1:11" ht="16" thickBot="1">
      <c r="A36" s="1101"/>
      <c r="B36" s="1103"/>
      <c r="C36" s="1104"/>
      <c r="D36" s="1104"/>
      <c r="E36" s="1104"/>
      <c r="F36" s="1104"/>
      <c r="G36" s="1104"/>
      <c r="H36" s="1104"/>
      <c r="I36" s="1105"/>
      <c r="J36" s="543"/>
      <c r="K36" s="543"/>
    </row>
    <row r="37" spans="1:11" ht="17" thickBot="1">
      <c r="A37" s="1101"/>
      <c r="B37" s="526" t="s">
        <v>294</v>
      </c>
      <c r="C37" s="526"/>
      <c r="D37" s="526"/>
      <c r="E37" s="526"/>
      <c r="F37" s="526"/>
      <c r="G37" s="1063" t="s">
        <v>57</v>
      </c>
      <c r="H37" s="1064"/>
      <c r="I37" s="1065"/>
    </row>
    <row r="38" spans="1:11" ht="16">
      <c r="A38" s="1101"/>
      <c r="B38" s="530" t="s">
        <v>255</v>
      </c>
      <c r="C38" s="530"/>
      <c r="D38" s="530"/>
      <c r="E38" s="530"/>
      <c r="F38" s="530"/>
      <c r="G38" s="1066" t="s">
        <v>493</v>
      </c>
      <c r="H38" s="1067"/>
      <c r="I38" s="1068"/>
    </row>
    <row r="39" spans="1:11">
      <c r="A39" s="1101"/>
      <c r="B39" s="528" t="s">
        <v>505</v>
      </c>
      <c r="C39" s="528"/>
      <c r="D39" s="528"/>
      <c r="E39" s="528"/>
      <c r="F39" s="528"/>
      <c r="G39" s="1072" t="s">
        <v>254</v>
      </c>
      <c r="H39" s="1073"/>
      <c r="I39" s="1074"/>
    </row>
    <row r="40" spans="1:11">
      <c r="A40" s="1101"/>
      <c r="B40" s="528" t="s">
        <v>502</v>
      </c>
      <c r="C40" s="528"/>
      <c r="D40" s="528"/>
      <c r="E40" s="528"/>
      <c r="F40" s="528"/>
      <c r="G40" s="1072" t="s">
        <v>494</v>
      </c>
      <c r="H40" s="1073"/>
      <c r="I40" s="1074"/>
    </row>
    <row r="41" spans="1:11" ht="16" thickBot="1">
      <c r="A41" s="1101"/>
      <c r="B41" s="529" t="s">
        <v>503</v>
      </c>
      <c r="C41" s="529"/>
      <c r="D41" s="529"/>
      <c r="E41" s="529"/>
      <c r="F41" s="529"/>
      <c r="G41" s="1060" t="s">
        <v>495</v>
      </c>
      <c r="H41" s="1061"/>
      <c r="I41" s="1062"/>
    </row>
    <row r="42" spans="1:11" ht="16" thickBot="1">
      <c r="A42" s="1101"/>
      <c r="B42" s="1103"/>
      <c r="C42" s="1104"/>
      <c r="D42" s="1104"/>
      <c r="E42" s="1104"/>
      <c r="F42" s="1104"/>
      <c r="G42" s="1104"/>
      <c r="H42" s="1104"/>
      <c r="I42" s="1105"/>
      <c r="J42" s="543"/>
      <c r="K42" s="543"/>
    </row>
    <row r="43" spans="1:11" ht="16">
      <c r="A43" s="1101"/>
      <c r="B43" s="513" t="s">
        <v>296</v>
      </c>
      <c r="C43" s="513"/>
      <c r="D43" s="513"/>
      <c r="E43" s="513"/>
      <c r="F43" s="513"/>
      <c r="G43" s="1075" t="s">
        <v>258</v>
      </c>
      <c r="H43" s="1076"/>
      <c r="I43" s="1077"/>
    </row>
    <row r="44" spans="1:11">
      <c r="A44" s="1101"/>
      <c r="B44" s="514" t="s">
        <v>297</v>
      </c>
      <c r="C44" s="514"/>
      <c r="D44" s="514"/>
      <c r="E44" s="514"/>
      <c r="F44" s="514"/>
      <c r="G44" s="1078"/>
      <c r="H44" s="1079"/>
      <c r="I44" s="1080"/>
    </row>
    <row r="45" spans="1:11">
      <c r="A45" s="1101"/>
      <c r="B45" s="531" t="s">
        <v>255</v>
      </c>
      <c r="C45" s="531"/>
      <c r="D45" s="531"/>
      <c r="E45" s="531"/>
      <c r="F45" s="531"/>
      <c r="G45" s="1072" t="s">
        <v>256</v>
      </c>
      <c r="H45" s="1073"/>
      <c r="I45" s="1074"/>
    </row>
    <row r="46" spans="1:11" ht="16" thickBot="1">
      <c r="A46" s="1102"/>
      <c r="B46" s="283" t="s">
        <v>504</v>
      </c>
      <c r="C46" s="283"/>
      <c r="D46" s="283"/>
      <c r="E46" s="283"/>
      <c r="F46" s="283"/>
      <c r="G46" s="1060" t="s">
        <v>257</v>
      </c>
      <c r="H46" s="1061"/>
      <c r="I46" s="1062"/>
    </row>
  </sheetData>
  <sheetProtection sheet="1" objects="1" scenarios="1"/>
  <mergeCells count="41"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  <mergeCell ref="E16:E17"/>
    <mergeCell ref="F16:F17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F12:F13"/>
    <mergeCell ref="G43:I44"/>
    <mergeCell ref="G45:I45"/>
    <mergeCell ref="G46:I46"/>
    <mergeCell ref="G39:I39"/>
    <mergeCell ref="G40:I40"/>
    <mergeCell ref="G41:I41"/>
    <mergeCell ref="G35:I35"/>
    <mergeCell ref="G37:I37"/>
    <mergeCell ref="G38:I38"/>
    <mergeCell ref="G32:I32"/>
    <mergeCell ref="G33:I33"/>
    <mergeCell ref="G34:I34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4"/>
  <sheetViews>
    <sheetView view="pageBreakPreview" zoomScale="120" zoomScaleSheetLayoutView="120" workbookViewId="0">
      <selection activeCell="A3" sqref="A3:I3"/>
    </sheetView>
  </sheetViews>
  <sheetFormatPr baseColWidth="10" defaultColWidth="8.83203125" defaultRowHeight="14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>
      <c r="A1" s="1230" t="s">
        <v>19</v>
      </c>
      <c r="B1" s="1231"/>
      <c r="C1" s="1231"/>
      <c r="D1" s="1231"/>
      <c r="E1" s="1231"/>
      <c r="F1" s="1231"/>
      <c r="G1" s="1231"/>
      <c r="H1" s="1231"/>
      <c r="I1" s="1232"/>
      <c r="J1" s="42"/>
    </row>
    <row r="2" spans="1:22" ht="23" customHeight="1">
      <c r="A2" s="1241" t="s">
        <v>6</v>
      </c>
      <c r="B2" s="1242"/>
      <c r="C2" s="1242"/>
      <c r="D2" s="1242"/>
      <c r="E2" s="1242"/>
      <c r="F2" s="1242"/>
      <c r="G2" s="1242"/>
      <c r="H2" s="1242"/>
      <c r="I2" s="1243"/>
    </row>
    <row r="3" spans="1:22" ht="24" customHeight="1" thickBot="1">
      <c r="A3" s="1202" t="str">
        <f>'Forside 1'!A6:I6</f>
        <v>Gældende fra 1. april 2020</v>
      </c>
      <c r="B3" s="1203"/>
      <c r="C3" s="1203"/>
      <c r="D3" s="1203"/>
      <c r="E3" s="1203"/>
      <c r="F3" s="1203"/>
      <c r="G3" s="1203"/>
      <c r="H3" s="1203"/>
      <c r="I3" s="1204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>
      <c r="A4" s="44"/>
      <c r="B4" s="44"/>
      <c r="C4" s="44"/>
      <c r="D4" s="44"/>
      <c r="E4" s="44"/>
      <c r="F4" s="44"/>
      <c r="G4" s="44"/>
      <c r="H4" s="44"/>
      <c r="I4" s="44"/>
      <c r="N4" s="1201"/>
      <c r="O4" s="1201"/>
      <c r="P4" s="1201"/>
      <c r="Q4" s="1201"/>
      <c r="R4" s="1201"/>
      <c r="S4" s="1201"/>
      <c r="T4" s="1201"/>
      <c r="U4" s="1201"/>
      <c r="V4" s="1201"/>
    </row>
    <row r="5" spans="1:22" ht="20" customHeight="1">
      <c r="A5" s="1140" t="s">
        <v>263</v>
      </c>
      <c r="B5" s="1141"/>
      <c r="C5" s="1141"/>
      <c r="D5" s="1141"/>
      <c r="E5" s="1141"/>
      <c r="F5" s="1141"/>
      <c r="G5" s="1141"/>
      <c r="H5" s="1142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>
      <c r="A6" s="1221" t="s">
        <v>459</v>
      </c>
      <c r="B6" s="1222"/>
      <c r="C6" s="1222"/>
      <c r="D6" s="1222"/>
      <c r="E6" s="1222"/>
      <c r="F6" s="1222"/>
      <c r="G6" s="1222"/>
      <c r="H6" s="1223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>
      <c r="A7" s="1214" t="s">
        <v>95</v>
      </c>
      <c r="B7" s="1211" t="s">
        <v>0</v>
      </c>
      <c r="C7" s="1165" t="s">
        <v>4</v>
      </c>
      <c r="D7" s="1165"/>
      <c r="E7" s="1233"/>
      <c r="F7" s="1208" t="s">
        <v>5</v>
      </c>
      <c r="G7" s="1209"/>
      <c r="H7" s="1210"/>
      <c r="I7" s="69"/>
      <c r="J7" s="27"/>
    </row>
    <row r="8" spans="1:22" ht="30">
      <c r="A8" s="1215"/>
      <c r="B8" s="1212"/>
      <c r="C8" s="352" t="s">
        <v>132</v>
      </c>
      <c r="D8" s="352" t="s">
        <v>352</v>
      </c>
      <c r="E8" s="352" t="s">
        <v>282</v>
      </c>
      <c r="F8" s="649" t="s">
        <v>132</v>
      </c>
      <c r="G8" s="649" t="s">
        <v>352</v>
      </c>
      <c r="H8" s="649" t="s">
        <v>282</v>
      </c>
      <c r="I8" s="56"/>
    </row>
    <row r="9" spans="1:22" ht="18" customHeight="1" thickBot="1">
      <c r="A9" s="1216"/>
      <c r="B9" s="1213"/>
      <c r="C9" s="353">
        <v>40999</v>
      </c>
      <c r="D9" s="353" t="str">
        <f>'Løntabel gældende fra'!$D$1</f>
        <v>01/04/2020</v>
      </c>
      <c r="E9" s="353" t="str">
        <f>'Løntabel gældende fra'!$D$1</f>
        <v>01/04/2020</v>
      </c>
      <c r="F9" s="354">
        <v>40999</v>
      </c>
      <c r="G9" s="353" t="str">
        <f>'Løntabel gældende fra'!$D$1</f>
        <v>01/04/2020</v>
      </c>
      <c r="H9" s="353" t="str">
        <f>'Løntabel gældende fra'!$D$1</f>
        <v>01/04/2020</v>
      </c>
      <c r="I9" s="67"/>
    </row>
    <row r="10" spans="1:22" ht="15" customHeight="1">
      <c r="A10" s="357" t="s">
        <v>1</v>
      </c>
      <c r="B10" s="358">
        <v>1</v>
      </c>
      <c r="C10" s="146">
        <v>279695</v>
      </c>
      <c r="D10" s="990">
        <f>ROUND(C10+(C10*'Løntabel gældende fra'!$D$7%),2)</f>
        <v>308569.59000000003</v>
      </c>
      <c r="E10" s="976">
        <f>ROUND(D10/12,2)</f>
        <v>25714.13</v>
      </c>
      <c r="F10" s="146">
        <v>266588</v>
      </c>
      <c r="G10" s="147">
        <f>ROUND(F10+(F10*'Løntabel gældende fra'!$D$7%),2)</f>
        <v>294109.48</v>
      </c>
      <c r="H10" s="976">
        <f>ROUND(G10/12,2)</f>
        <v>24509.119999999999</v>
      </c>
      <c r="I10" s="10"/>
    </row>
    <row r="11" spans="1:22" ht="15" customHeight="1">
      <c r="A11" s="359" t="s">
        <v>51</v>
      </c>
      <c r="B11" s="360">
        <v>2</v>
      </c>
      <c r="C11" s="148">
        <v>298044</v>
      </c>
      <c r="D11" s="461">
        <f>ROUND(C11+(C11*'Løntabel gældende fra'!$D$7%),2)</f>
        <v>328812.87</v>
      </c>
      <c r="E11" s="977">
        <f t="shared" ref="E11:E13" si="0">ROUND(D11/12,2)</f>
        <v>27401.07</v>
      </c>
      <c r="F11" s="148">
        <v>279695</v>
      </c>
      <c r="G11" s="980">
        <f>ROUND(F11+(F11*'Løntabel gældende fra'!$D$7%),2)</f>
        <v>308569.59000000003</v>
      </c>
      <c r="H11" s="977">
        <f t="shared" ref="H11:H13" si="1">ROUND(G11/12,2)</f>
        <v>25714.13</v>
      </c>
      <c r="I11" s="10"/>
    </row>
    <row r="12" spans="1:22" ht="15" customHeight="1">
      <c r="A12" s="359" t="s">
        <v>2</v>
      </c>
      <c r="B12" s="360">
        <v>3</v>
      </c>
      <c r="C12" s="148">
        <v>325699</v>
      </c>
      <c r="D12" s="461">
        <f>ROUND(C12+(C12*'Løntabel gældende fra'!$D$7%),2)</f>
        <v>359322.86</v>
      </c>
      <c r="E12" s="977">
        <f t="shared" si="0"/>
        <v>29943.57</v>
      </c>
      <c r="F12" s="148">
        <v>290311</v>
      </c>
      <c r="G12" s="980">
        <f>ROUND(F12+(F12*'Løntabel gældende fra'!$D$7%),2)</f>
        <v>320281.55</v>
      </c>
      <c r="H12" s="977">
        <f t="shared" si="1"/>
        <v>26690.13</v>
      </c>
      <c r="I12" s="10"/>
    </row>
    <row r="13" spans="1:22" ht="15" customHeight="1" thickBot="1">
      <c r="A13" s="361" t="s">
        <v>3</v>
      </c>
      <c r="B13" s="362">
        <v>4</v>
      </c>
      <c r="C13" s="152">
        <v>351388</v>
      </c>
      <c r="D13" s="982">
        <f>ROUND(C13+(C13*'Løntabel gældende fra'!$D$7%),2)</f>
        <v>387663.89</v>
      </c>
      <c r="E13" s="978">
        <f t="shared" si="0"/>
        <v>32305.32</v>
      </c>
      <c r="F13" s="152">
        <v>309054</v>
      </c>
      <c r="G13" s="981">
        <f>ROUND(F13+(F13*'Løntabel gældende fra'!$D$7%),2)</f>
        <v>340959.5</v>
      </c>
      <c r="H13" s="978">
        <f t="shared" si="1"/>
        <v>28413.29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>
      <c r="A15" s="1140" t="s">
        <v>416</v>
      </c>
      <c r="B15" s="1141"/>
      <c r="C15" s="1141"/>
      <c r="D15" s="1141"/>
      <c r="E15" s="1141"/>
      <c r="F15" s="1141"/>
      <c r="G15" s="1141"/>
      <c r="H15" s="1142"/>
      <c r="I15" s="68"/>
    </row>
    <row r="16" spans="1:22" ht="20" customHeight="1" thickBot="1">
      <c r="A16" s="1221" t="s">
        <v>460</v>
      </c>
      <c r="B16" s="1222"/>
      <c r="C16" s="1222"/>
      <c r="D16" s="1222"/>
      <c r="E16" s="1222"/>
      <c r="F16" s="1222"/>
      <c r="G16" s="1222"/>
      <c r="H16" s="1223"/>
      <c r="I16" s="68"/>
    </row>
    <row r="17" spans="1:9" ht="23" customHeight="1" thickBot="1">
      <c r="A17" s="1143" t="s">
        <v>11</v>
      </c>
      <c r="B17" s="1144"/>
      <c r="C17" s="1164" t="s">
        <v>4</v>
      </c>
      <c r="D17" s="1165"/>
      <c r="E17" s="1233"/>
      <c r="F17" s="1208" t="s">
        <v>5</v>
      </c>
      <c r="G17" s="1209"/>
      <c r="H17" s="1210"/>
      <c r="I17" s="69"/>
    </row>
    <row r="18" spans="1:9" ht="15">
      <c r="A18" s="1145"/>
      <c r="B18" s="1238"/>
      <c r="C18" s="1172" t="s">
        <v>238</v>
      </c>
      <c r="D18" s="352" t="s">
        <v>99</v>
      </c>
      <c r="E18" s="352" t="s">
        <v>351</v>
      </c>
      <c r="F18" s="1172" t="s">
        <v>238</v>
      </c>
      <c r="G18" s="352" t="s">
        <v>100</v>
      </c>
      <c r="H18" s="649" t="s">
        <v>351</v>
      </c>
      <c r="I18" s="11"/>
    </row>
    <row r="19" spans="1:9" ht="16" thickBot="1">
      <c r="A19" s="1145"/>
      <c r="B19" s="1238"/>
      <c r="C19" s="1217"/>
      <c r="D19" s="355">
        <v>40999</v>
      </c>
      <c r="E19" s="356" t="str">
        <f>'Løntabel gældende fra'!$D$1</f>
        <v>01/04/2020</v>
      </c>
      <c r="F19" s="1217"/>
      <c r="G19" s="355">
        <v>40999</v>
      </c>
      <c r="H19" s="356" t="str">
        <f>'Løntabel gældende fra'!$D$1</f>
        <v>01/04/2020</v>
      </c>
      <c r="I19" s="70"/>
    </row>
    <row r="20" spans="1:9" ht="15" customHeight="1">
      <c r="A20" s="1145"/>
      <c r="B20" s="1146"/>
      <c r="C20" s="154" t="s">
        <v>43</v>
      </c>
      <c r="D20" s="155">
        <v>16.38</v>
      </c>
      <c r="E20" s="149">
        <f>ROUND(D20+(D20*'Løntabel gældende fra'!$D$7%),2)</f>
        <v>18.07</v>
      </c>
      <c r="F20" s="156" t="s">
        <v>47</v>
      </c>
      <c r="G20" s="157">
        <v>22.4054</v>
      </c>
      <c r="H20" s="149">
        <f>ROUND(G20+(G20*'Løntabel gældende fra'!$D$7%),2)</f>
        <v>24.72</v>
      </c>
      <c r="I20" s="51"/>
    </row>
    <row r="21" spans="1:9" ht="15" customHeight="1">
      <c r="A21" s="1145"/>
      <c r="B21" s="1146"/>
      <c r="C21" s="158" t="s">
        <v>44</v>
      </c>
      <c r="D21" s="150">
        <v>98.3</v>
      </c>
      <c r="E21" s="149">
        <f>ROUND(D21+(D21*'Løntabel gældende fra'!$D$7%),2)</f>
        <v>108.45</v>
      </c>
      <c r="F21" s="159" t="s">
        <v>48</v>
      </c>
      <c r="G21" s="160">
        <v>65.525400000000005</v>
      </c>
      <c r="H21" s="149">
        <f>ROUND(G21+(G21*'Løntabel gældende fra'!$D$7%),2)</f>
        <v>72.290000000000006</v>
      </c>
      <c r="I21" s="51"/>
    </row>
    <row r="22" spans="1:9" ht="15" customHeight="1">
      <c r="A22" s="1145"/>
      <c r="B22" s="1146"/>
      <c r="C22" s="158" t="s">
        <v>45</v>
      </c>
      <c r="D22" s="161">
        <v>131.07</v>
      </c>
      <c r="E22" s="149">
        <f>ROUND(D22+(D22*'Løntabel gældende fra'!$D$7%),2)</f>
        <v>144.6</v>
      </c>
      <c r="F22" s="159" t="s">
        <v>49</v>
      </c>
      <c r="G22" s="160">
        <v>131.07</v>
      </c>
      <c r="H22" s="149">
        <f>ROUND(G22+(G22*'Løntabel gældende fra'!$D$7%),2)</f>
        <v>144.6</v>
      </c>
      <c r="I22" s="51"/>
    </row>
    <row r="23" spans="1:9" ht="15" customHeight="1" thickBot="1">
      <c r="A23" s="1239"/>
      <c r="B23" s="1240"/>
      <c r="C23" s="162" t="s">
        <v>46</v>
      </c>
      <c r="D23" s="163">
        <v>163.83000000000001</v>
      </c>
      <c r="E23" s="153">
        <f>ROUND(D23+(D23*'Løntabel gældende fra'!$D$7%),2)</f>
        <v>180.74</v>
      </c>
      <c r="F23" s="164" t="s">
        <v>50</v>
      </c>
      <c r="G23" s="165">
        <v>163.82830000000001</v>
      </c>
      <c r="H23" s="153">
        <f>ROUND(G23+(G23*'Løntabel gældende fra'!$D$7%),2)</f>
        <v>180.74</v>
      </c>
      <c r="I23" s="51"/>
    </row>
    <row r="24" spans="1:9" s="125" customFormat="1" ht="21" customHeight="1" thickBot="1">
      <c r="A24" s="121"/>
      <c r="B24" s="121"/>
      <c r="C24" s="122"/>
      <c r="D24" s="123"/>
      <c r="E24" s="123"/>
      <c r="F24" s="122"/>
      <c r="G24" s="123"/>
      <c r="H24" s="123"/>
      <c r="I24" s="124"/>
    </row>
    <row r="25" spans="1:9" ht="20" customHeight="1">
      <c r="A25" s="1205" t="s">
        <v>248</v>
      </c>
      <c r="B25" s="1206"/>
      <c r="C25" s="1206"/>
      <c r="D25" s="1206"/>
      <c r="E25" s="1206"/>
      <c r="F25" s="1206"/>
      <c r="G25" s="1206"/>
      <c r="H25" s="1206"/>
      <c r="I25" s="1207"/>
    </row>
    <row r="26" spans="1:9" ht="20" customHeight="1" thickBot="1">
      <c r="A26" s="1179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01/04/2020</v>
      </c>
      <c r="B26" s="1180"/>
      <c r="C26" s="1180"/>
      <c r="D26" s="1180"/>
      <c r="E26" s="1180"/>
      <c r="F26" s="1180"/>
      <c r="G26" s="1180"/>
      <c r="H26" s="1180"/>
      <c r="I26" s="1181"/>
    </row>
    <row r="27" spans="1:9" ht="24" customHeight="1">
      <c r="A27" s="1236"/>
      <c r="B27" s="1237"/>
      <c r="C27" s="1185" t="s">
        <v>4</v>
      </c>
      <c r="D27" s="1185"/>
      <c r="E27" s="1186"/>
      <c r="F27" s="1234" t="s">
        <v>5</v>
      </c>
      <c r="G27" s="1185"/>
      <c r="H27" s="1185"/>
      <c r="I27" s="1186"/>
    </row>
    <row r="28" spans="1:9" ht="20" customHeight="1">
      <c r="A28" s="1246" t="s">
        <v>12</v>
      </c>
      <c r="B28" s="1247"/>
      <c r="C28" s="1248"/>
      <c r="D28" s="1249"/>
      <c r="E28" s="1250"/>
      <c r="F28" s="1248"/>
      <c r="G28" s="1249"/>
      <c r="H28" s="1249"/>
      <c r="I28" s="1250"/>
    </row>
    <row r="29" spans="1:9" ht="32.25" customHeight="1" thickBot="1">
      <c r="A29" s="1244" t="str">
        <f>"Mdr. undervisningstillæg pr. "&amp;'Løntabel gældende fra'!D1&amp;""</f>
        <v>Mdr. undervisningstillæg pr. 01/04/2020</v>
      </c>
      <c r="B29" s="1245"/>
      <c r="C29" s="1227">
        <f>ROUND(IF(C28&lt;650,C28*E20,IF(AND(C28&gt;=650,C28&lt;700),650*E20+(C28-650)*E21,IF(AND(C28&gt;=700,C28&lt;750),650*E20+50*E21+(C28-700)*E22,IF(C28&gt;=750,650*E20+50*E21+50*E22+(C28-750)*E23,))))/12,2)</f>
        <v>0</v>
      </c>
      <c r="D29" s="1228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1229">
        <f t="shared" si="2"/>
        <v>0</v>
      </c>
      <c r="F29" s="1227">
        <f>IF(F28&lt;750,F28*H20,IF(AND(F28&gt;=750,F28&lt;800),750*H20+(F28-750)*H21,IF(AND(F28&gt;=800,F28&lt;835),750*H20+50*H21+(F28-800)*H22,IF(F28&gt;=835,750*H20+50*H21+35*H22+(F28-835)*H23,))))/12</f>
        <v>0</v>
      </c>
      <c r="G29" s="1228">
        <f t="shared" si="2"/>
        <v>0</v>
      </c>
      <c r="H29" s="1228">
        <f t="shared" si="2"/>
        <v>0</v>
      </c>
      <c r="I29" s="1229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>
      <c r="A31" s="1218" t="s">
        <v>315</v>
      </c>
      <c r="B31" s="1219"/>
      <c r="C31" s="1219"/>
      <c r="D31" s="1219"/>
      <c r="E31" s="1219"/>
      <c r="F31" s="1219"/>
      <c r="G31" s="1219"/>
      <c r="H31" s="1219"/>
      <c r="I31" s="1220"/>
    </row>
    <row r="32" spans="1:9" ht="20" customHeight="1">
      <c r="A32" s="1224" t="s">
        <v>249</v>
      </c>
      <c r="B32" s="1225"/>
      <c r="C32" s="1225"/>
      <c r="D32" s="1225"/>
      <c r="E32" s="1225"/>
      <c r="F32" s="1225"/>
      <c r="G32" s="1225"/>
      <c r="H32" s="1225"/>
      <c r="I32" s="1226"/>
    </row>
    <row r="33" spans="1:9" ht="20" customHeight="1" thickBot="1">
      <c r="A33" s="1182" t="s">
        <v>324</v>
      </c>
      <c r="B33" s="1183"/>
      <c r="C33" s="1183"/>
      <c r="D33" s="1183"/>
      <c r="E33" s="1183"/>
      <c r="F33" s="1183"/>
      <c r="G33" s="1183"/>
      <c r="H33" s="1183"/>
      <c r="I33" s="1184"/>
    </row>
    <row r="34" spans="1:9" ht="24" customHeight="1" thickBot="1">
      <c r="A34" s="1168" t="s">
        <v>103</v>
      </c>
      <c r="B34" s="1169" t="s">
        <v>4</v>
      </c>
      <c r="C34" s="1169"/>
      <c r="D34" s="1169"/>
      <c r="E34" s="1197"/>
      <c r="F34" s="1170" t="s">
        <v>5</v>
      </c>
      <c r="G34" s="1169"/>
      <c r="H34" s="1169"/>
      <c r="I34" s="1197"/>
    </row>
    <row r="35" spans="1:9" ht="24" customHeight="1" thickBot="1">
      <c r="A35" s="1217"/>
      <c r="B35" s="462" t="s">
        <v>7</v>
      </c>
      <c r="C35" s="463" t="s">
        <v>8</v>
      </c>
      <c r="D35" s="462" t="s">
        <v>10</v>
      </c>
      <c r="E35" s="464" t="s">
        <v>9</v>
      </c>
      <c r="F35" s="465" t="s">
        <v>7</v>
      </c>
      <c r="G35" s="466" t="s">
        <v>8</v>
      </c>
      <c r="H35" s="394" t="s">
        <v>10</v>
      </c>
      <c r="I35" s="467" t="s">
        <v>9</v>
      </c>
    </row>
    <row r="36" spans="1:9" ht="15" customHeight="1">
      <c r="A36" s="363">
        <v>1</v>
      </c>
      <c r="B36" s="456">
        <v>325</v>
      </c>
      <c r="C36" s="459">
        <v>575</v>
      </c>
      <c r="D36" s="456">
        <v>900</v>
      </c>
      <c r="E36" s="167">
        <v>1150</v>
      </c>
      <c r="F36" s="461">
        <v>375</v>
      </c>
      <c r="G36" s="171">
        <v>625</v>
      </c>
      <c r="H36" s="378">
        <v>1000</v>
      </c>
      <c r="I36" s="171">
        <v>1250</v>
      </c>
    </row>
    <row r="37" spans="1:9" ht="15" customHeight="1">
      <c r="A37" s="364">
        <v>2</v>
      </c>
      <c r="B37" s="457">
        <v>275</v>
      </c>
      <c r="C37" s="459">
        <v>475</v>
      </c>
      <c r="D37" s="457">
        <v>750</v>
      </c>
      <c r="E37" s="167">
        <v>950</v>
      </c>
      <c r="F37" s="375">
        <v>325</v>
      </c>
      <c r="G37" s="193">
        <v>575</v>
      </c>
      <c r="H37" s="381">
        <v>900</v>
      </c>
      <c r="I37" s="193">
        <v>1150</v>
      </c>
    </row>
    <row r="38" spans="1:9" ht="15" customHeight="1">
      <c r="A38" s="364">
        <v>3</v>
      </c>
      <c r="B38" s="457">
        <v>175</v>
      </c>
      <c r="C38" s="459">
        <v>325</v>
      </c>
      <c r="D38" s="457">
        <v>500</v>
      </c>
      <c r="E38" s="167">
        <v>625</v>
      </c>
      <c r="F38" s="375">
        <v>300</v>
      </c>
      <c r="G38" s="193">
        <v>525</v>
      </c>
      <c r="H38" s="381">
        <v>825</v>
      </c>
      <c r="I38" s="193">
        <v>1050</v>
      </c>
    </row>
    <row r="39" spans="1:9" ht="15" customHeight="1" thickBot="1">
      <c r="A39" s="365">
        <v>4</v>
      </c>
      <c r="B39" s="458">
        <v>175</v>
      </c>
      <c r="C39" s="460">
        <v>325</v>
      </c>
      <c r="D39" s="458">
        <v>500</v>
      </c>
      <c r="E39" s="168">
        <v>625</v>
      </c>
      <c r="F39" s="383">
        <v>300</v>
      </c>
      <c r="G39" s="172">
        <v>525</v>
      </c>
      <c r="H39" s="379">
        <v>825</v>
      </c>
      <c r="I39" s="172">
        <v>1050</v>
      </c>
    </row>
    <row r="40" spans="1:9" ht="24" customHeight="1" thickBot="1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>
      <c r="A41" s="1205" t="s">
        <v>316</v>
      </c>
      <c r="B41" s="1206"/>
      <c r="C41" s="1206"/>
      <c r="D41" s="1206"/>
      <c r="E41" s="1206"/>
      <c r="F41" s="1206"/>
      <c r="G41" s="1207"/>
      <c r="H41" s="64"/>
      <c r="I41" s="7"/>
    </row>
    <row r="42" spans="1:9" ht="20" customHeight="1" thickBot="1">
      <c r="A42" s="1251" t="s">
        <v>325</v>
      </c>
      <c r="B42" s="1252"/>
      <c r="C42" s="1252"/>
      <c r="D42" s="1252"/>
      <c r="E42" s="1252"/>
      <c r="F42" s="1252"/>
      <c r="G42" s="1253"/>
      <c r="H42" s="64"/>
      <c r="I42" s="7"/>
    </row>
    <row r="43" spans="1:9" ht="13" customHeight="1">
      <c r="A43" s="1172" t="s">
        <v>0</v>
      </c>
      <c r="B43" s="1164" t="s">
        <v>132</v>
      </c>
      <c r="C43" s="1233"/>
      <c r="D43" s="1164" t="s">
        <v>352</v>
      </c>
      <c r="E43" s="1165"/>
      <c r="F43" s="1164" t="s">
        <v>282</v>
      </c>
      <c r="G43" s="1233"/>
      <c r="H43" s="46"/>
      <c r="I43" s="7"/>
    </row>
    <row r="44" spans="1:9" ht="14" customHeight="1" thickBot="1">
      <c r="A44" s="1217"/>
      <c r="B44" s="1235">
        <f>$D$19</f>
        <v>40999</v>
      </c>
      <c r="C44" s="1163"/>
      <c r="D44" s="1235" t="str">
        <f>'Løntabel gældende fra'!$D$1</f>
        <v>01/04/2020</v>
      </c>
      <c r="E44" s="1162"/>
      <c r="F44" s="1235" t="str">
        <f>'Løntabel gældende fra'!$D$1</f>
        <v>01/04/2020</v>
      </c>
      <c r="G44" s="1163"/>
      <c r="H44" s="46"/>
      <c r="I44" s="7"/>
    </row>
    <row r="45" spans="1:9" ht="15" customHeight="1">
      <c r="A45" s="363">
        <v>1</v>
      </c>
      <c r="B45" s="1117">
        <v>5200</v>
      </c>
      <c r="C45" s="1117"/>
      <c r="D45" s="1134">
        <f>ROUND(B45+(B45*'Løntabel gældende fra'!$D$7%),2)</f>
        <v>5736.83</v>
      </c>
      <c r="E45" s="1132"/>
      <c r="F45" s="1149">
        <f>ROUND(D45/12,2)</f>
        <v>478.07</v>
      </c>
      <c r="G45" s="1150"/>
      <c r="H45" s="10"/>
      <c r="I45" s="7"/>
    </row>
    <row r="46" spans="1:9" ht="15" customHeight="1">
      <c r="A46" s="364">
        <v>2</v>
      </c>
      <c r="B46" s="1133">
        <v>7900</v>
      </c>
      <c r="C46" s="1133"/>
      <c r="D46" s="1293">
        <f>ROUND(B46+(B46*'Løntabel gældende fra'!$D$7%),2)</f>
        <v>8715.56</v>
      </c>
      <c r="E46" s="1118"/>
      <c r="F46" s="1115">
        <f>ROUND(D46/12,2)</f>
        <v>726.3</v>
      </c>
      <c r="G46" s="1116"/>
      <c r="H46" s="10"/>
      <c r="I46" s="7"/>
    </row>
    <row r="47" spans="1:9" ht="15" customHeight="1" thickBot="1">
      <c r="A47" s="365">
        <v>3</v>
      </c>
      <c r="B47" s="1119">
        <v>7900</v>
      </c>
      <c r="C47" s="1119"/>
      <c r="D47" s="1137">
        <f>ROUND(B47+(B47*'Løntabel gældende fra'!$D$7%),2)</f>
        <v>8715.56</v>
      </c>
      <c r="E47" s="1122"/>
      <c r="F47" s="1120">
        <f>ROUND(D47/12,2)</f>
        <v>726.3</v>
      </c>
      <c r="G47" s="1121"/>
      <c r="H47" s="10"/>
      <c r="I47" s="7"/>
    </row>
    <row r="48" spans="1:9" s="63" customFormat="1" ht="24" customHeight="1" thickBot="1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>
      <c r="A49" s="1205" t="s">
        <v>452</v>
      </c>
      <c r="B49" s="1297"/>
      <c r="C49" s="1297"/>
      <c r="D49" s="1297"/>
      <c r="E49" s="1297"/>
      <c r="F49" s="1297"/>
      <c r="G49" s="1298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>
      <c r="A50" s="1251" t="s">
        <v>326</v>
      </c>
      <c r="B50" s="1252"/>
      <c r="C50" s="1252"/>
      <c r="D50" s="1252"/>
      <c r="E50" s="1252"/>
      <c r="F50" s="1252"/>
      <c r="G50" s="1253"/>
      <c r="H50" s="65"/>
      <c r="K50" s="16"/>
      <c r="L50" s="16"/>
      <c r="M50" s="16"/>
      <c r="N50" s="16"/>
      <c r="O50" s="16"/>
      <c r="P50" s="16"/>
      <c r="Q50" s="16"/>
    </row>
    <row r="51" spans="1:17" ht="16" customHeight="1">
      <c r="A51" s="1172" t="s">
        <v>0</v>
      </c>
      <c r="B51" s="1123" t="s">
        <v>132</v>
      </c>
      <c r="C51" s="1124"/>
      <c r="D51" s="1123" t="s">
        <v>352</v>
      </c>
      <c r="E51" s="1124"/>
      <c r="F51" s="1123" t="s">
        <v>282</v>
      </c>
      <c r="G51" s="1124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>
      <c r="A52" s="1168"/>
      <c r="B52" s="1125">
        <f>C9</f>
        <v>40999</v>
      </c>
      <c r="C52" s="1126"/>
      <c r="D52" s="1127" t="str">
        <f>'Løntabel gældende fra'!D1</f>
        <v>01/04/2020</v>
      </c>
      <c r="E52" s="1126"/>
      <c r="F52" s="1127" t="str">
        <f>'Løntabel gældende fra'!D1</f>
        <v>01/04/2020</v>
      </c>
      <c r="G52" s="1126"/>
      <c r="H52" s="46"/>
      <c r="K52" s="16"/>
      <c r="L52" s="16"/>
      <c r="M52" s="16"/>
      <c r="N52" s="16"/>
      <c r="O52" s="16"/>
      <c r="P52" s="16"/>
      <c r="Q52" s="16"/>
    </row>
    <row r="53" spans="1:17" ht="15" customHeight="1">
      <c r="A53" s="363">
        <v>1</v>
      </c>
      <c r="B53" s="1129">
        <v>2800</v>
      </c>
      <c r="C53" s="1129"/>
      <c r="D53" s="1130">
        <f>ROUND(B53+(B53*'Løntabel gældende fra'!$D$7%),2)</f>
        <v>3089.06</v>
      </c>
      <c r="E53" s="1131"/>
      <c r="F53" s="1134">
        <f>ROUND(D53/12,2)</f>
        <v>257.42</v>
      </c>
      <c r="G53" s="1132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64">
        <v>2</v>
      </c>
      <c r="B54" s="1133">
        <v>2800</v>
      </c>
      <c r="C54" s="1133"/>
      <c r="D54" s="1115">
        <f>ROUND(B54+(B54*'Løntabel gældende fra'!$D$7%),2)</f>
        <v>3089.06</v>
      </c>
      <c r="E54" s="1116"/>
      <c r="F54" s="1135">
        <f t="shared" ref="F54:F56" si="3">ROUND(D54/12,2)</f>
        <v>257.42</v>
      </c>
      <c r="G54" s="1136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66">
        <v>3</v>
      </c>
      <c r="B55" s="1133">
        <v>2800</v>
      </c>
      <c r="C55" s="1133"/>
      <c r="D55" s="1115">
        <f>ROUND(B55+(B55*'Løntabel gældende fra'!$D$7%),2)</f>
        <v>3089.06</v>
      </c>
      <c r="E55" s="1116"/>
      <c r="F55" s="1135">
        <f t="shared" si="3"/>
        <v>257.42</v>
      </c>
      <c r="G55" s="1136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65">
        <v>4</v>
      </c>
      <c r="B56" s="1119">
        <v>2800</v>
      </c>
      <c r="C56" s="1119"/>
      <c r="D56" s="1120">
        <f>ROUND(B56+(B56*'Løntabel gældende fra'!$D$7%),2)</f>
        <v>3089.06</v>
      </c>
      <c r="E56" s="1121"/>
      <c r="F56" s="1137">
        <f t="shared" si="3"/>
        <v>257.42</v>
      </c>
      <c r="G56" s="1122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>
      <c r="A58" s="1205" t="s">
        <v>453</v>
      </c>
      <c r="B58" s="1297"/>
      <c r="C58" s="1297"/>
      <c r="D58" s="1297"/>
      <c r="E58" s="1297"/>
      <c r="F58" s="1297"/>
      <c r="G58" s="1298"/>
      <c r="H58" s="65"/>
      <c r="K58" s="16"/>
      <c r="L58" s="16"/>
      <c r="M58" s="16"/>
      <c r="N58" s="16"/>
      <c r="O58" s="16"/>
      <c r="P58" s="16"/>
      <c r="Q58" s="16"/>
    </row>
    <row r="59" spans="1:17" ht="20" customHeight="1" thickBot="1">
      <c r="A59" s="1251" t="s">
        <v>326</v>
      </c>
      <c r="B59" s="1252"/>
      <c r="C59" s="1252"/>
      <c r="D59" s="1252"/>
      <c r="E59" s="1252"/>
      <c r="F59" s="1252"/>
      <c r="G59" s="1253"/>
      <c r="H59" s="65"/>
      <c r="K59" s="16"/>
      <c r="L59" s="16"/>
      <c r="M59" s="16"/>
      <c r="N59" s="16"/>
      <c r="O59" s="16"/>
      <c r="P59" s="16"/>
      <c r="Q59" s="16"/>
    </row>
    <row r="60" spans="1:17" ht="16" customHeight="1">
      <c r="A60" s="1172" t="s">
        <v>0</v>
      </c>
      <c r="B60" s="1123" t="s">
        <v>132</v>
      </c>
      <c r="C60" s="1124"/>
      <c r="D60" s="1123" t="s">
        <v>352</v>
      </c>
      <c r="E60" s="1124"/>
      <c r="F60" s="1123" t="s">
        <v>282</v>
      </c>
      <c r="G60" s="1124"/>
      <c r="H60" s="797"/>
      <c r="K60" s="16"/>
      <c r="L60" s="16"/>
      <c r="M60" s="16"/>
      <c r="N60" s="16"/>
      <c r="O60" s="16"/>
      <c r="P60" s="16"/>
      <c r="Q60" s="16"/>
    </row>
    <row r="61" spans="1:17" ht="16" customHeight="1" thickBot="1">
      <c r="A61" s="1168"/>
      <c r="B61" s="1125">
        <f>B52</f>
        <v>40999</v>
      </c>
      <c r="C61" s="1126"/>
      <c r="D61" s="1127" t="str">
        <f>'Løntabel gældende fra'!D1</f>
        <v>01/04/2020</v>
      </c>
      <c r="E61" s="1128"/>
      <c r="F61" s="1127" t="str">
        <f>'Løntabel gældende fra'!D1</f>
        <v>01/04/2020</v>
      </c>
      <c r="G61" s="1128"/>
      <c r="H61" s="797"/>
      <c r="K61" s="16"/>
      <c r="L61" s="16"/>
      <c r="M61" s="16"/>
      <c r="N61" s="16"/>
      <c r="O61" s="16"/>
      <c r="P61" s="16"/>
      <c r="Q61" s="16"/>
    </row>
    <row r="62" spans="1:17" ht="15" customHeight="1">
      <c r="A62" s="363">
        <v>1</v>
      </c>
      <c r="B62" s="1129">
        <v>900</v>
      </c>
      <c r="C62" s="1129"/>
      <c r="D62" s="1130">
        <f>ROUND(B62+(B62*'Løntabel gældende fra'!$D$7%),2)</f>
        <v>992.91</v>
      </c>
      <c r="E62" s="1131"/>
      <c r="F62" s="1129">
        <f>ROUND(D62/12,2)</f>
        <v>82.74</v>
      </c>
      <c r="G62" s="1132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64">
        <v>2</v>
      </c>
      <c r="B63" s="1133">
        <v>900</v>
      </c>
      <c r="C63" s="1133"/>
      <c r="D63" s="1115">
        <f>ROUND(B63+(B63*'Løntabel gældende fra'!$D$7%),2)</f>
        <v>992.91</v>
      </c>
      <c r="E63" s="1116"/>
      <c r="F63" s="1117">
        <f>ROUND(D63/12,2)</f>
        <v>82.74</v>
      </c>
      <c r="G63" s="1118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66">
        <v>3</v>
      </c>
      <c r="B64" s="1133">
        <v>900</v>
      </c>
      <c r="C64" s="1133"/>
      <c r="D64" s="1115">
        <f>ROUND(B64+(B64*'Løntabel gældende fra'!$D$7%),2)</f>
        <v>992.91</v>
      </c>
      <c r="E64" s="1116"/>
      <c r="F64" s="1117">
        <f>ROUND(D64/12,2)</f>
        <v>82.74</v>
      </c>
      <c r="G64" s="1118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65">
        <v>4</v>
      </c>
      <c r="B65" s="1119">
        <v>900</v>
      </c>
      <c r="C65" s="1119"/>
      <c r="D65" s="1120">
        <f>ROUND(B65+(B65*'Løntabel gældende fra'!$D$7%),2)</f>
        <v>992.91</v>
      </c>
      <c r="E65" s="1121"/>
      <c r="F65" s="1119">
        <f>ROUND(D65/12,2)</f>
        <v>82.74</v>
      </c>
      <c r="G65" s="1122"/>
      <c r="H65" s="10"/>
      <c r="K65" s="16"/>
      <c r="L65" s="16"/>
      <c r="M65" s="16"/>
      <c r="N65" s="16"/>
      <c r="O65" s="16"/>
      <c r="P65" s="16"/>
      <c r="Q65" s="16"/>
    </row>
    <row r="66" spans="1:17" ht="25" customHeight="1" thickBot="1">
      <c r="A66" s="797"/>
      <c r="B66" s="48"/>
      <c r="C66" s="48"/>
      <c r="D66" s="48"/>
      <c r="E66" s="48"/>
      <c r="F66" s="49"/>
      <c r="G66" s="49"/>
      <c r="H66" s="49"/>
      <c r="K66" s="16"/>
      <c r="L66" s="16"/>
      <c r="M66" s="16"/>
      <c r="N66" s="16"/>
      <c r="O66" s="16"/>
      <c r="P66" s="16"/>
      <c r="Q66" s="16"/>
    </row>
    <row r="67" spans="1:17" ht="20" customHeight="1">
      <c r="A67" s="1140" t="s">
        <v>317</v>
      </c>
      <c r="B67" s="1141"/>
      <c r="C67" s="1141"/>
      <c r="D67" s="1141"/>
      <c r="E67" s="1141"/>
      <c r="F67" s="1141"/>
      <c r="G67" s="1141"/>
      <c r="H67" s="1141"/>
      <c r="I67" s="1142"/>
    </row>
    <row r="68" spans="1:17" ht="20" customHeight="1" thickBot="1">
      <c r="A68" s="1221" t="s">
        <v>327</v>
      </c>
      <c r="B68" s="1222"/>
      <c r="C68" s="1222"/>
      <c r="D68" s="1222"/>
      <c r="E68" s="1222"/>
      <c r="F68" s="1222"/>
      <c r="G68" s="1222"/>
      <c r="H68" s="1222"/>
      <c r="I68" s="1223"/>
    </row>
    <row r="69" spans="1:17" ht="28" customHeight="1">
      <c r="A69" s="1264" t="s">
        <v>301</v>
      </c>
      <c r="B69" s="1265"/>
      <c r="C69" s="1265"/>
      <c r="D69" s="1265"/>
      <c r="E69" s="1265"/>
      <c r="F69" s="1266"/>
      <c r="G69" s="346" t="s">
        <v>132</v>
      </c>
      <c r="H69" s="346" t="s">
        <v>102</v>
      </c>
      <c r="I69" s="650" t="s">
        <v>282</v>
      </c>
    </row>
    <row r="70" spans="1:17" ht="15" customHeight="1" thickBot="1">
      <c r="A70" s="1264"/>
      <c r="B70" s="1265"/>
      <c r="C70" s="1265"/>
      <c r="D70" s="1265"/>
      <c r="E70" s="1265"/>
      <c r="F70" s="1266"/>
      <c r="G70" s="347">
        <f>C9</f>
        <v>40999</v>
      </c>
      <c r="H70" s="347">
        <f>C9</f>
        <v>40999</v>
      </c>
      <c r="I70" s="347" t="str">
        <f>'Løntabel gældende fra'!$D$1</f>
        <v>01/04/2020</v>
      </c>
    </row>
    <row r="71" spans="1:17" ht="15" customHeight="1" thickBot="1">
      <c r="A71" s="1267"/>
      <c r="B71" s="1268"/>
      <c r="C71" s="1268"/>
      <c r="D71" s="1268"/>
      <c r="E71" s="1268"/>
      <c r="F71" s="1269"/>
      <c r="G71" s="169">
        <v>19300</v>
      </c>
      <c r="H71" s="169">
        <f>ROUND(G71/12,2)</f>
        <v>1608.33</v>
      </c>
      <c r="I71" s="170">
        <f>ROUND(H71+(H71*'Løntabel gældende fra'!$D$7%),2)</f>
        <v>1774.37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" customHeight="1">
      <c r="A73" s="1140" t="s">
        <v>319</v>
      </c>
      <c r="B73" s="1141"/>
      <c r="C73" s="1141"/>
      <c r="D73" s="1141"/>
      <c r="E73" s="1141"/>
      <c r="F73" s="1141"/>
      <c r="G73" s="1141"/>
      <c r="H73" s="1141"/>
      <c r="I73" s="1142"/>
    </row>
    <row r="74" spans="1:17" ht="20" customHeight="1" thickBot="1">
      <c r="A74" s="1221" t="s">
        <v>318</v>
      </c>
      <c r="B74" s="1222"/>
      <c r="C74" s="1222"/>
      <c r="D74" s="1222"/>
      <c r="E74" s="1222"/>
      <c r="F74" s="1222"/>
      <c r="G74" s="1222"/>
      <c r="H74" s="1222"/>
      <c r="I74" s="1223"/>
    </row>
    <row r="75" spans="1:17" ht="28" customHeight="1">
      <c r="A75" s="1287" t="s">
        <v>469</v>
      </c>
      <c r="B75" s="1288"/>
      <c r="C75" s="1288"/>
      <c r="D75" s="1288"/>
      <c r="E75" s="1288"/>
      <c r="F75" s="1288"/>
      <c r="G75" s="1289"/>
      <c r="H75" s="439" t="s">
        <v>353</v>
      </c>
      <c r="I75" s="649" t="s">
        <v>354</v>
      </c>
    </row>
    <row r="76" spans="1:17" ht="34" customHeight="1" thickBot="1">
      <c r="A76" s="1290"/>
      <c r="B76" s="1291"/>
      <c r="C76" s="1291"/>
      <c r="D76" s="1291"/>
      <c r="E76" s="1291"/>
      <c r="F76" s="1291"/>
      <c r="G76" s="1292"/>
      <c r="H76" s="347">
        <f>C9</f>
        <v>40999</v>
      </c>
      <c r="I76" s="347" t="str">
        <f>'Løntabel gældende fra'!$D$1</f>
        <v>01/04/2020</v>
      </c>
    </row>
    <row r="77" spans="1:17" ht="15" customHeight="1" thickBot="1">
      <c r="A77" s="1199" t="s">
        <v>14</v>
      </c>
      <c r="B77" s="1200"/>
      <c r="C77" s="1200"/>
      <c r="D77" s="1200"/>
      <c r="E77" s="1200"/>
      <c r="F77" s="1200"/>
      <c r="G77" s="1200"/>
      <c r="H77" s="173">
        <v>19</v>
      </c>
      <c r="I77" s="174">
        <f>ROUND(H77+H77*'Løntabel gældende fra'!$D$7%,2)</f>
        <v>20.96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" customHeight="1">
      <c r="A79" s="1140" t="s">
        <v>320</v>
      </c>
      <c r="B79" s="1141"/>
      <c r="C79" s="1141"/>
      <c r="D79" s="1141"/>
      <c r="E79" s="1141"/>
      <c r="F79" s="1141"/>
      <c r="G79" s="1141"/>
      <c r="H79" s="1141"/>
      <c r="I79" s="1142"/>
    </row>
    <row r="80" spans="1:17" ht="20" customHeight="1" thickBot="1">
      <c r="A80" s="1221" t="s">
        <v>318</v>
      </c>
      <c r="B80" s="1222"/>
      <c r="C80" s="1222"/>
      <c r="D80" s="1222"/>
      <c r="E80" s="1222"/>
      <c r="F80" s="1222"/>
      <c r="G80" s="1222"/>
      <c r="H80" s="1222"/>
      <c r="I80" s="1223"/>
    </row>
    <row r="81" spans="1:22" ht="13" customHeight="1">
      <c r="A81" s="1187" t="s">
        <v>461</v>
      </c>
      <c r="B81" s="1188"/>
      <c r="C81" s="1188"/>
      <c r="D81" s="1188"/>
      <c r="E81" s="1188"/>
      <c r="F81" s="1188"/>
      <c r="G81" s="1189"/>
      <c r="H81" s="348" t="s">
        <v>99</v>
      </c>
      <c r="I81" s="349" t="s">
        <v>104</v>
      </c>
    </row>
    <row r="82" spans="1:22" ht="15" customHeight="1" thickBot="1">
      <c r="A82" s="1190"/>
      <c r="B82" s="1191"/>
      <c r="C82" s="1191"/>
      <c r="D82" s="1191"/>
      <c r="E82" s="1191"/>
      <c r="F82" s="1191"/>
      <c r="G82" s="1192"/>
      <c r="H82" s="350">
        <f>C9</f>
        <v>40999</v>
      </c>
      <c r="I82" s="347" t="str">
        <f>'Løntabel gældende fra'!$D$1</f>
        <v>01/04/2020</v>
      </c>
    </row>
    <row r="83" spans="1:22" ht="15" customHeight="1">
      <c r="A83" s="1193" t="s">
        <v>18</v>
      </c>
      <c r="B83" s="1194"/>
      <c r="C83" s="1194"/>
      <c r="D83" s="1194"/>
      <c r="E83" s="1194"/>
      <c r="F83" s="1194"/>
      <c r="G83" s="1194"/>
      <c r="H83" s="211">
        <v>6.59</v>
      </c>
      <c r="I83" s="212">
        <f>ROUND(H83+H83*'Løntabel gældende fra'!$D$7%,2)</f>
        <v>7.27</v>
      </c>
    </row>
    <row r="84" spans="1:22" ht="15" customHeight="1" thickBot="1">
      <c r="A84" s="1195" t="s">
        <v>17</v>
      </c>
      <c r="B84" s="1196"/>
      <c r="C84" s="1196"/>
      <c r="D84" s="1196"/>
      <c r="E84" s="1196"/>
      <c r="F84" s="1196"/>
      <c r="G84" s="1196"/>
      <c r="H84" s="191">
        <v>61.22</v>
      </c>
      <c r="I84" s="213">
        <f>ROUND(H84+H84*'Løntabel gældende fra'!$D$7%,2)</f>
        <v>67.540000000000006</v>
      </c>
    </row>
    <row r="85" spans="1:22" ht="37" customHeight="1" thickBot="1">
      <c r="A85" s="1308" t="s">
        <v>362</v>
      </c>
      <c r="B85" s="1309"/>
      <c r="C85" s="1309"/>
      <c r="D85" s="1309"/>
      <c r="E85" s="1309"/>
      <c r="F85" s="1309"/>
      <c r="G85" s="1309"/>
      <c r="H85" s="1309"/>
      <c r="I85" s="1310"/>
      <c r="K85" s="16"/>
      <c r="L85" s="16"/>
      <c r="M85" s="16"/>
      <c r="N85" s="16"/>
      <c r="O85" s="16"/>
      <c r="P85" s="16"/>
      <c r="Q85" s="16"/>
    </row>
    <row r="86" spans="1:22" ht="27.75" customHeight="1" thickBot="1">
      <c r="A86" s="1308" t="s">
        <v>363</v>
      </c>
      <c r="B86" s="1309"/>
      <c r="C86" s="1309"/>
      <c r="D86" s="1309"/>
      <c r="E86" s="1309"/>
      <c r="F86" s="1309"/>
      <c r="G86" s="1309"/>
      <c r="H86" s="1309"/>
      <c r="I86" s="1310"/>
      <c r="K86" s="16"/>
      <c r="L86" s="16"/>
      <c r="M86" s="16"/>
      <c r="N86" s="16"/>
      <c r="O86" s="16"/>
      <c r="P86" s="16"/>
      <c r="Q86" s="16"/>
    </row>
    <row r="87" spans="1:22" ht="16.5" customHeight="1" thickBot="1">
      <c r="A87" s="75"/>
      <c r="B87" s="75"/>
      <c r="C87" s="75"/>
      <c r="D87" s="75"/>
      <c r="E87" s="75"/>
      <c r="F87" s="75"/>
      <c r="G87" s="75"/>
      <c r="H87" s="75"/>
      <c r="I87" s="75"/>
      <c r="K87" s="16"/>
      <c r="L87" s="16"/>
      <c r="M87" s="16"/>
      <c r="N87" s="16"/>
      <c r="O87" s="16"/>
      <c r="P87" s="16"/>
      <c r="Q87" s="16"/>
    </row>
    <row r="88" spans="1:22" customFormat="1" ht="24" customHeight="1" thickBot="1">
      <c r="A88" s="1258" t="s">
        <v>70</v>
      </c>
      <c r="B88" s="1259"/>
      <c r="C88" s="1259"/>
      <c r="D88" s="1259"/>
      <c r="E88" s="1259"/>
      <c r="F88" s="1259"/>
      <c r="G88" s="1260"/>
      <c r="H88" s="64"/>
    </row>
    <row r="89" spans="1:22" customFormat="1" ht="24" customHeight="1" thickBot="1">
      <c r="A89" s="1281" t="s">
        <v>71</v>
      </c>
      <c r="B89" s="1282"/>
      <c r="C89" s="1283"/>
      <c r="D89" s="1173">
        <v>40999</v>
      </c>
      <c r="E89" s="1174"/>
      <c r="F89" s="1174" t="str">
        <f>'Løntabel gældende fra'!$D$1</f>
        <v>01/04/2020</v>
      </c>
      <c r="G89" s="1270"/>
      <c r="H89" s="66"/>
    </row>
    <row r="90" spans="1:22" s="576" customFormat="1" ht="24" customHeight="1" thickBot="1">
      <c r="A90" s="1284"/>
      <c r="B90" s="1285"/>
      <c r="C90" s="1286"/>
      <c r="D90" s="1271" t="s">
        <v>321</v>
      </c>
      <c r="E90" s="1272"/>
      <c r="F90" s="1271" t="s">
        <v>321</v>
      </c>
      <c r="G90" s="1272"/>
      <c r="H90" s="577"/>
      <c r="I90" s="577"/>
      <c r="J90" s="577"/>
      <c r="K90" s="577"/>
      <c r="L90" s="577"/>
      <c r="M90" s="577"/>
      <c r="N90" s="577"/>
      <c r="O90" s="577"/>
      <c r="P90" s="577"/>
      <c r="Q90" s="577"/>
      <c r="R90" s="577"/>
      <c r="S90" s="577"/>
      <c r="T90" s="577"/>
      <c r="U90" s="577"/>
      <c r="V90" s="577"/>
    </row>
    <row r="91" spans="1:22" customFormat="1" ht="15" customHeight="1">
      <c r="A91" s="175" t="s">
        <v>72</v>
      </c>
      <c r="B91" s="176"/>
      <c r="C91" s="177"/>
      <c r="D91" s="178">
        <v>236</v>
      </c>
      <c r="E91" s="178">
        <v>334</v>
      </c>
      <c r="F91" s="578">
        <f>ROUND(D91+D91*'Løntabel gældende fra'!$D$7%,2)</f>
        <v>260.36</v>
      </c>
      <c r="G91" s="579">
        <f>ROUND(E91+E91*'Løntabel gældende fra'!$D$7%,2)</f>
        <v>368.48</v>
      </c>
      <c r="H91" s="59"/>
    </row>
    <row r="92" spans="1:22" customFormat="1" ht="15" customHeight="1" thickBot="1">
      <c r="A92" s="130" t="s">
        <v>74</v>
      </c>
      <c r="B92" s="131"/>
      <c r="C92" s="179"/>
      <c r="D92" s="180">
        <v>170</v>
      </c>
      <c r="E92" s="180">
        <v>269</v>
      </c>
      <c r="F92" s="181">
        <f>ROUND(D92+D92*'Løntabel gældende fra'!$D$7%,2)</f>
        <v>187.55</v>
      </c>
      <c r="G92" s="182">
        <f>ROUND(E92+E92*'Løntabel gældende fra'!$D$7%,2)</f>
        <v>296.77</v>
      </c>
      <c r="H92" s="59"/>
    </row>
    <row r="93" spans="1:22" customFormat="1" ht="24" customHeight="1" thickBot="1">
      <c r="A93" s="1164" t="s">
        <v>73</v>
      </c>
      <c r="B93" s="1165"/>
      <c r="C93" s="1233"/>
      <c r="D93" s="1274">
        <f>D89</f>
        <v>40999</v>
      </c>
      <c r="E93" s="1275"/>
      <c r="F93" s="1273" t="str">
        <f>'Løntabel gældende fra'!$D$1</f>
        <v>01/04/2020</v>
      </c>
      <c r="G93" s="1270"/>
      <c r="H93" s="66"/>
    </row>
    <row r="94" spans="1:22" s="576" customFormat="1" ht="24" customHeight="1" thickBot="1">
      <c r="A94" s="1161"/>
      <c r="B94" s="1162"/>
      <c r="C94" s="1163"/>
      <c r="D94" s="1271" t="s">
        <v>321</v>
      </c>
      <c r="E94" s="1272"/>
      <c r="F94" s="1271" t="s">
        <v>321</v>
      </c>
      <c r="G94" s="1272"/>
      <c r="H94" s="577"/>
      <c r="I94" s="577"/>
      <c r="J94" s="577"/>
      <c r="K94" s="577"/>
      <c r="L94" s="577"/>
      <c r="M94" s="577"/>
      <c r="N94" s="577"/>
      <c r="O94" s="577"/>
      <c r="P94" s="577"/>
      <c r="Q94" s="577"/>
      <c r="R94" s="577"/>
      <c r="S94" s="577"/>
      <c r="T94" s="577"/>
      <c r="U94" s="577"/>
      <c r="V94" s="577"/>
    </row>
    <row r="95" spans="1:22" customFormat="1" ht="15" customHeight="1">
      <c r="A95" s="175" t="s">
        <v>72</v>
      </c>
      <c r="B95" s="176"/>
      <c r="C95" s="177"/>
      <c r="D95" s="178">
        <v>203</v>
      </c>
      <c r="E95" s="178">
        <v>334</v>
      </c>
      <c r="F95" s="183">
        <f>ROUND(D95+D95*'Løntabel gældende fra'!$D$7%,2)</f>
        <v>223.96</v>
      </c>
      <c r="G95" s="184">
        <f>ROUND(E95+E95*'Løntabel gældende fra'!$D$7%,2)</f>
        <v>368.48</v>
      </c>
      <c r="H95" s="59"/>
    </row>
    <row r="96" spans="1:22" customFormat="1" ht="15" customHeight="1" thickBot="1">
      <c r="A96" s="569" t="s">
        <v>74</v>
      </c>
      <c r="B96" s="570"/>
      <c r="C96" s="571"/>
      <c r="D96" s="185">
        <v>138</v>
      </c>
      <c r="E96" s="185">
        <v>269</v>
      </c>
      <c r="F96" s="186">
        <f>ROUND(D96+D96*'Løntabel gældende fra'!$D$7%,2)</f>
        <v>152.25</v>
      </c>
      <c r="G96" s="187">
        <f>ROUND(E96+E96*'Løntabel gældende fra'!$D$7%,2)</f>
        <v>296.77</v>
      </c>
      <c r="H96" s="59"/>
    </row>
    <row r="97" spans="1:15" ht="24" customHeight="1" thickBot="1">
      <c r="A97" s="7"/>
      <c r="B97" s="7"/>
      <c r="C97" s="7"/>
      <c r="D97" s="7"/>
      <c r="E97" s="7"/>
      <c r="F97" s="7"/>
      <c r="G97" s="7"/>
      <c r="H97" s="7"/>
      <c r="I97" s="7"/>
    </row>
    <row r="98" spans="1:15" customFormat="1" ht="24" customHeight="1" thickBot="1">
      <c r="A98" s="1258" t="s">
        <v>61</v>
      </c>
      <c r="B98" s="1259"/>
      <c r="C98" s="1259"/>
      <c r="D98" s="1259"/>
      <c r="E98" s="1259"/>
      <c r="F98" s="1259"/>
      <c r="G98" s="1260"/>
    </row>
    <row r="99" spans="1:15" customFormat="1" ht="16" thickBot="1">
      <c r="A99" s="188"/>
      <c r="B99" s="189"/>
      <c r="C99" s="190"/>
      <c r="D99" s="1299">
        <v>40999</v>
      </c>
      <c r="E99" s="1300"/>
      <c r="F99" s="1313" t="str">
        <f>'Løntabel gældende fra'!$D$1</f>
        <v>01/04/2020</v>
      </c>
      <c r="G99" s="1314"/>
    </row>
    <row r="100" spans="1:15" customFormat="1" ht="16" thickBot="1">
      <c r="A100" s="1175" t="s">
        <v>62</v>
      </c>
      <c r="B100" s="1176"/>
      <c r="C100" s="1176"/>
      <c r="D100" s="1256">
        <v>43.25</v>
      </c>
      <c r="E100" s="1257"/>
      <c r="F100" s="1177">
        <f>ROUND(D100+D100*'Løntabel gældende fra'!$D$7%,2)</f>
        <v>47.71</v>
      </c>
      <c r="G100" s="1178"/>
    </row>
    <row r="101" spans="1:15" customFormat="1" ht="42" customHeight="1">
      <c r="A101" s="1278" t="s">
        <v>228</v>
      </c>
      <c r="B101" s="1279"/>
      <c r="C101" s="1280"/>
      <c r="D101" s="1256">
        <v>9.17</v>
      </c>
      <c r="E101" s="1257"/>
      <c r="F101" s="1177">
        <f>ROUND(D101+D101*'Løntabel gældende fra'!$D$7%,2)</f>
        <v>10.119999999999999</v>
      </c>
      <c r="G101" s="1178"/>
    </row>
    <row r="102" spans="1:15" customFormat="1" ht="16" thickBot="1">
      <c r="A102" s="71" t="s">
        <v>63</v>
      </c>
      <c r="B102" s="72"/>
      <c r="C102" s="72"/>
      <c r="D102" s="1254">
        <v>4587.3100000000004</v>
      </c>
      <c r="E102" s="1255"/>
      <c r="F102" s="1311">
        <f>ROUND(D102+D102*'Løntabel gældende fra'!$D$7%,2)</f>
        <v>5060.8900000000003</v>
      </c>
      <c r="G102" s="1312"/>
    </row>
    <row r="103" spans="1:15" customFormat="1" ht="15">
      <c r="A103" s="82"/>
      <c r="B103" s="82"/>
      <c r="C103" s="82"/>
      <c r="D103" s="61"/>
      <c r="E103" s="102"/>
      <c r="F103" s="59"/>
      <c r="G103" s="59"/>
    </row>
    <row r="104" spans="1:15" ht="12" customHeight="1" thickBot="1">
      <c r="A104" s="103"/>
      <c r="B104" s="104"/>
      <c r="C104" s="104"/>
      <c r="D104" s="104"/>
      <c r="E104" s="104"/>
      <c r="F104" s="59"/>
      <c r="G104" s="59"/>
      <c r="H104" s="7"/>
      <c r="I104" s="7"/>
    </row>
    <row r="105" spans="1:15" ht="20.25" customHeight="1">
      <c r="A105" s="1151" t="s">
        <v>91</v>
      </c>
      <c r="B105" s="1152"/>
      <c r="C105" s="1152"/>
      <c r="D105" s="1152"/>
      <c r="E105" s="1152"/>
      <c r="F105" s="1152"/>
      <c r="G105" s="1152"/>
      <c r="H105" s="1152"/>
      <c r="I105" s="1153"/>
    </row>
    <row r="106" spans="1:15" ht="21" thickBot="1">
      <c r="A106" s="1261" t="str">
        <f>'Løntabel gældende fra'!$D$1</f>
        <v>01/04/2020</v>
      </c>
      <c r="B106" s="1262"/>
      <c r="C106" s="1262"/>
      <c r="D106" s="1262"/>
      <c r="E106" s="1262"/>
      <c r="F106" s="1262"/>
      <c r="G106" s="1262"/>
      <c r="H106" s="1262"/>
      <c r="I106" s="1263"/>
    </row>
    <row r="107" spans="1:15" ht="18" customHeight="1" thickBot="1">
      <c r="A107" s="1258" t="s">
        <v>89</v>
      </c>
      <c r="B107" s="1259"/>
      <c r="C107" s="1259"/>
      <c r="D107" s="1259"/>
      <c r="E107" s="1259"/>
      <c r="F107" s="1141"/>
      <c r="G107" s="1141"/>
      <c r="H107" s="1141"/>
      <c r="I107" s="1142"/>
    </row>
    <row r="108" spans="1:15" ht="16" customHeight="1">
      <c r="A108" s="1305" t="s">
        <v>0</v>
      </c>
      <c r="B108" s="1164" t="s">
        <v>20</v>
      </c>
      <c r="C108" s="1165"/>
      <c r="D108" s="1165"/>
      <c r="E108" s="1165"/>
      <c r="F108" s="1315" t="s">
        <v>436</v>
      </c>
      <c r="G108" s="1316"/>
      <c r="H108" s="1276">
        <v>0.17299999999999999</v>
      </c>
      <c r="I108" s="1277"/>
      <c r="J108" s="3"/>
      <c r="K108" s="3"/>
      <c r="L108" s="3"/>
      <c r="M108" s="4"/>
      <c r="N108" s="4"/>
      <c r="O108" s="4"/>
    </row>
    <row r="109" spans="1:15" ht="16" customHeight="1" thickBot="1">
      <c r="A109" s="1305"/>
      <c r="B109" s="1161"/>
      <c r="C109" s="1162"/>
      <c r="D109" s="1162"/>
      <c r="E109" s="1162"/>
      <c r="F109" s="1294" t="s">
        <v>448</v>
      </c>
      <c r="G109" s="1295"/>
      <c r="H109" s="1295"/>
      <c r="I109" s="1296"/>
      <c r="J109" s="3"/>
      <c r="K109" s="3"/>
      <c r="L109" s="3"/>
      <c r="M109" s="4"/>
      <c r="N109" s="4"/>
      <c r="O109" s="4"/>
    </row>
    <row r="110" spans="1:15">
      <c r="A110" s="166">
        <v>1</v>
      </c>
      <c r="B110" s="1134">
        <f>H10</f>
        <v>24509.119999999999</v>
      </c>
      <c r="C110" s="1129"/>
      <c r="D110" s="1129"/>
      <c r="E110" s="1132"/>
      <c r="F110" s="1134">
        <f>ROUND(B110*$H$108,2)</f>
        <v>4240.08</v>
      </c>
      <c r="G110" s="1129"/>
      <c r="H110" s="1129"/>
      <c r="I110" s="1132"/>
    </row>
    <row r="111" spans="1:15">
      <c r="A111" s="99">
        <v>2</v>
      </c>
      <c r="B111" s="1135">
        <f>H11</f>
        <v>25714.13</v>
      </c>
      <c r="C111" s="1133"/>
      <c r="D111" s="1133"/>
      <c r="E111" s="1136"/>
      <c r="F111" s="1135">
        <f>ROUND(B111*$H$108,2)</f>
        <v>4448.54</v>
      </c>
      <c r="G111" s="1133"/>
      <c r="H111" s="1133"/>
      <c r="I111" s="1136"/>
    </row>
    <row r="112" spans="1:15">
      <c r="A112" s="99">
        <v>3</v>
      </c>
      <c r="B112" s="1135">
        <f>H12</f>
        <v>26690.13</v>
      </c>
      <c r="C112" s="1133"/>
      <c r="D112" s="1133"/>
      <c r="E112" s="1136"/>
      <c r="F112" s="1135">
        <f>ROUND(B112*$H$108,2)</f>
        <v>4617.3900000000003</v>
      </c>
      <c r="G112" s="1133"/>
      <c r="H112" s="1133"/>
      <c r="I112" s="1136"/>
    </row>
    <row r="113" spans="1:10" ht="15" customHeight="1" thickBot="1">
      <c r="A113" s="100">
        <v>4</v>
      </c>
      <c r="B113" s="1137">
        <f>H13</f>
        <v>28413.29</v>
      </c>
      <c r="C113" s="1119"/>
      <c r="D113" s="1119"/>
      <c r="E113" s="1122"/>
      <c r="F113" s="1137">
        <f>ROUND(B113*$H$108,2)</f>
        <v>4915.5</v>
      </c>
      <c r="G113" s="1119"/>
      <c r="H113" s="1119"/>
      <c r="I113" s="1122"/>
    </row>
    <row r="114" spans="1:10" ht="18" customHeight="1" thickBot="1">
      <c r="A114" s="1140" t="s">
        <v>90</v>
      </c>
      <c r="B114" s="1141"/>
      <c r="C114" s="1141"/>
      <c r="D114" s="1141"/>
      <c r="E114" s="1141"/>
      <c r="F114" s="1141"/>
      <c r="G114" s="1141"/>
      <c r="H114" s="1141"/>
      <c r="I114" s="1142"/>
    </row>
    <row r="115" spans="1:10" ht="23" customHeight="1">
      <c r="A115" s="1307" t="s">
        <v>0</v>
      </c>
      <c r="B115" s="1172" t="s">
        <v>138</v>
      </c>
      <c r="C115" s="1164" t="s">
        <v>23</v>
      </c>
      <c r="D115" s="1165"/>
      <c r="E115" s="1165"/>
      <c r="F115" s="1164" t="s">
        <v>24</v>
      </c>
      <c r="G115" s="1165"/>
      <c r="H115" s="1143" t="s">
        <v>94</v>
      </c>
      <c r="I115" s="1144"/>
    </row>
    <row r="116" spans="1:10" ht="22.5" customHeight="1" thickBot="1">
      <c r="A116" s="1305"/>
      <c r="B116" s="1168"/>
      <c r="C116" s="1138">
        <f>B52</f>
        <v>40999</v>
      </c>
      <c r="D116" s="1139"/>
      <c r="E116" s="1139"/>
      <c r="F116" s="1138" t="str">
        <f>'Løntabel gældende fra'!$D$1</f>
        <v>01/04/2020</v>
      </c>
      <c r="G116" s="1139"/>
      <c r="H116" s="1145"/>
      <c r="I116" s="1146"/>
    </row>
    <row r="117" spans="1:10" ht="15" customHeight="1" thickBot="1">
      <c r="A117" s="1305"/>
      <c r="B117" s="1168"/>
      <c r="C117" s="1143" t="s">
        <v>87</v>
      </c>
      <c r="D117" s="1144"/>
      <c r="E117" s="704" t="s">
        <v>88</v>
      </c>
      <c r="F117" s="704" t="s">
        <v>87</v>
      </c>
      <c r="G117" s="706" t="s">
        <v>88</v>
      </c>
      <c r="H117" s="1147">
        <v>0.15</v>
      </c>
      <c r="I117" s="1148"/>
    </row>
    <row r="118" spans="1:10">
      <c r="A118" s="145">
        <v>1</v>
      </c>
      <c r="B118" s="388">
        <v>21</v>
      </c>
      <c r="C118" s="1130">
        <f>+'Statens skalatrin'!N66</f>
        <v>241583.32</v>
      </c>
      <c r="D118" s="1131"/>
      <c r="E118" s="171">
        <f>ROUND(C118/12,2)</f>
        <v>20131.939999999999</v>
      </c>
      <c r="F118" s="222">
        <f>ROUND(C118*(1+'Løntabel gældende fra'!$D$7/100),0)</f>
        <v>266523</v>
      </c>
      <c r="G118" s="171">
        <f>ROUND(F118/12,2)</f>
        <v>22210.25</v>
      </c>
      <c r="H118" s="1149">
        <f>ROUND(G118*$H$117,2)</f>
        <v>3331.54</v>
      </c>
      <c r="I118" s="1150"/>
      <c r="J118" s="50"/>
    </row>
    <row r="119" spans="1:10">
      <c r="A119" s="708">
        <v>1</v>
      </c>
      <c r="B119" s="709">
        <v>23</v>
      </c>
      <c r="C119" s="1115">
        <f>+'Statens skalatrin'!N72</f>
        <v>250472.55</v>
      </c>
      <c r="D119" s="1116"/>
      <c r="E119" s="193">
        <f t="shared" ref="E119:E131" si="4">ROUND(C119/12,2)</f>
        <v>20872.71</v>
      </c>
      <c r="F119" s="223">
        <f>ROUND(C119*(1+'Løntabel gældende fra'!$D$7/100),0)</f>
        <v>276330</v>
      </c>
      <c r="G119" s="193">
        <f t="shared" ref="G119:G129" si="5">ROUND(F119/12,2)</f>
        <v>23027.5</v>
      </c>
      <c r="H119" s="1149">
        <f t="shared" ref="H119:H131" si="6">ROUND(G119*$H$117,2)</f>
        <v>3454.13</v>
      </c>
      <c r="I119" s="1150"/>
    </row>
    <row r="120" spans="1:10">
      <c r="A120" s="708">
        <v>2</v>
      </c>
      <c r="B120" s="709">
        <v>25</v>
      </c>
      <c r="C120" s="1115">
        <f>+'Statens skalatrin'!N78</f>
        <v>259721.7</v>
      </c>
      <c r="D120" s="1116"/>
      <c r="E120" s="193">
        <f t="shared" si="4"/>
        <v>21643.48</v>
      </c>
      <c r="F120" s="223">
        <f>ROUND(C120*(1+'Løntabel gældende fra'!$D$7/100),0)</f>
        <v>286534</v>
      </c>
      <c r="G120" s="193">
        <f t="shared" si="5"/>
        <v>23877.83</v>
      </c>
      <c r="H120" s="1149">
        <f t="shared" si="6"/>
        <v>3581.67</v>
      </c>
      <c r="I120" s="1150"/>
    </row>
    <row r="121" spans="1:10">
      <c r="A121" s="708">
        <v>2</v>
      </c>
      <c r="B121" s="709">
        <v>27</v>
      </c>
      <c r="C121" s="1115">
        <f>+'Statens skalatrin'!N84</f>
        <v>269459.90000000002</v>
      </c>
      <c r="D121" s="1116"/>
      <c r="E121" s="193">
        <f t="shared" si="4"/>
        <v>22454.99</v>
      </c>
      <c r="F121" s="223">
        <f>ROUND(C121*(1+'Løntabel gældende fra'!$D$7/100),0)</f>
        <v>297278</v>
      </c>
      <c r="G121" s="193">
        <f t="shared" si="5"/>
        <v>24773.17</v>
      </c>
      <c r="H121" s="1149">
        <f t="shared" si="6"/>
        <v>3715.98</v>
      </c>
      <c r="I121" s="1150"/>
    </row>
    <row r="122" spans="1:10">
      <c r="A122" s="708">
        <v>3</v>
      </c>
      <c r="B122" s="709">
        <v>28</v>
      </c>
      <c r="C122" s="1115">
        <f>+'Statens skalatrin'!N87</f>
        <v>274522.23</v>
      </c>
      <c r="D122" s="1116"/>
      <c r="E122" s="193">
        <f t="shared" si="4"/>
        <v>22876.85</v>
      </c>
      <c r="F122" s="223">
        <f>ROUND(C122*(1+'Løntabel gældende fra'!$D$7/100),0)</f>
        <v>302863</v>
      </c>
      <c r="G122" s="193">
        <f t="shared" si="5"/>
        <v>25238.58</v>
      </c>
      <c r="H122" s="1149">
        <f t="shared" si="6"/>
        <v>3785.79</v>
      </c>
      <c r="I122" s="1150"/>
    </row>
    <row r="123" spans="1:10">
      <c r="A123" s="708">
        <v>3</v>
      </c>
      <c r="B123" s="709">
        <v>29</v>
      </c>
      <c r="C123" s="1115">
        <f>+'Statens skalatrin'!N90</f>
        <v>279714.99</v>
      </c>
      <c r="D123" s="1116"/>
      <c r="E123" s="193">
        <f t="shared" si="4"/>
        <v>23309.58</v>
      </c>
      <c r="F123" s="223">
        <f>ROUND(C123*(1+'Løntabel gældende fra'!$D$7/100),0)</f>
        <v>308592</v>
      </c>
      <c r="G123" s="193">
        <f t="shared" si="5"/>
        <v>25716</v>
      </c>
      <c r="H123" s="1149">
        <f t="shared" si="6"/>
        <v>3857.4</v>
      </c>
      <c r="I123" s="1150"/>
    </row>
    <row r="124" spans="1:10">
      <c r="A124" s="708">
        <v>3</v>
      </c>
      <c r="B124" s="709">
        <v>30</v>
      </c>
      <c r="C124" s="1115">
        <f>+'Statens skalatrin'!N93</f>
        <v>285044.74</v>
      </c>
      <c r="D124" s="1116"/>
      <c r="E124" s="193">
        <f t="shared" si="4"/>
        <v>23753.73</v>
      </c>
      <c r="F124" s="223">
        <f>ROUND(C124*(1+'Løntabel gældende fra'!$D$7/100),0)</f>
        <v>314472</v>
      </c>
      <c r="G124" s="193">
        <f t="shared" si="5"/>
        <v>26206</v>
      </c>
      <c r="H124" s="1149">
        <f t="shared" si="6"/>
        <v>3930.9</v>
      </c>
      <c r="I124" s="1150"/>
    </row>
    <row r="125" spans="1:10">
      <c r="A125" s="708">
        <v>3</v>
      </c>
      <c r="B125" s="709">
        <v>31</v>
      </c>
      <c r="C125" s="1115">
        <f>+'Statens skalatrin'!N96</f>
        <v>290512.64000000001</v>
      </c>
      <c r="D125" s="1116"/>
      <c r="E125" s="193">
        <f t="shared" si="4"/>
        <v>24209.39</v>
      </c>
      <c r="F125" s="223">
        <f>ROUND(C125*(1+'Løntabel gældende fra'!$D$7/100),0)</f>
        <v>320504</v>
      </c>
      <c r="G125" s="193">
        <f t="shared" si="5"/>
        <v>26708.67</v>
      </c>
      <c r="H125" s="1149">
        <f t="shared" si="6"/>
        <v>4006.3</v>
      </c>
      <c r="I125" s="1150"/>
    </row>
    <row r="126" spans="1:10">
      <c r="A126" s="708">
        <v>28</v>
      </c>
      <c r="B126" s="709">
        <v>28</v>
      </c>
      <c r="C126" s="1115">
        <f>+C122</f>
        <v>274522.23</v>
      </c>
      <c r="D126" s="1116"/>
      <c r="E126" s="193">
        <f t="shared" si="4"/>
        <v>22876.85</v>
      </c>
      <c r="F126" s="223">
        <f>ROUND(C126*(1+'Løntabel gældende fra'!$D$7/100),0)</f>
        <v>302863</v>
      </c>
      <c r="G126" s="193">
        <f t="shared" si="5"/>
        <v>25238.58</v>
      </c>
      <c r="H126" s="1149">
        <f t="shared" si="6"/>
        <v>3785.79</v>
      </c>
      <c r="I126" s="1150"/>
    </row>
    <row r="127" spans="1:10">
      <c r="A127" s="708">
        <v>29</v>
      </c>
      <c r="B127" s="709">
        <v>29</v>
      </c>
      <c r="C127" s="1115">
        <f>+C123</f>
        <v>279714.99</v>
      </c>
      <c r="D127" s="1116"/>
      <c r="E127" s="193">
        <f t="shared" si="4"/>
        <v>23309.58</v>
      </c>
      <c r="F127" s="223">
        <f>ROUND(C127*(1+'Løntabel gældende fra'!$D$7/100),0)</f>
        <v>308592</v>
      </c>
      <c r="G127" s="193">
        <f t="shared" si="5"/>
        <v>25716</v>
      </c>
      <c r="H127" s="1149">
        <f t="shared" si="6"/>
        <v>3857.4</v>
      </c>
      <c r="I127" s="1150"/>
    </row>
    <row r="128" spans="1:10">
      <c r="A128" s="708">
        <v>30</v>
      </c>
      <c r="B128" s="709">
        <v>30</v>
      </c>
      <c r="C128" s="1115">
        <f>+C124</f>
        <v>285044.74</v>
      </c>
      <c r="D128" s="1116"/>
      <c r="E128" s="193">
        <f t="shared" si="4"/>
        <v>23753.73</v>
      </c>
      <c r="F128" s="223">
        <f>ROUND(C128*(1+'Løntabel gældende fra'!$D$7/100),0)</f>
        <v>314472</v>
      </c>
      <c r="G128" s="193">
        <f t="shared" si="5"/>
        <v>26206</v>
      </c>
      <c r="H128" s="1149">
        <f t="shared" si="6"/>
        <v>3930.9</v>
      </c>
      <c r="I128" s="1150"/>
    </row>
    <row r="129" spans="1:9">
      <c r="A129" s="708">
        <v>31</v>
      </c>
      <c r="B129" s="709">
        <v>31</v>
      </c>
      <c r="C129" s="1115">
        <f>+C125</f>
        <v>290512.64000000001</v>
      </c>
      <c r="D129" s="1116"/>
      <c r="E129" s="193">
        <f t="shared" si="4"/>
        <v>24209.39</v>
      </c>
      <c r="F129" s="223">
        <f>ROUND(C129*(1+'Løntabel gældende fra'!$D$7/100),0)</f>
        <v>320504</v>
      </c>
      <c r="G129" s="193">
        <f t="shared" si="5"/>
        <v>26708.67</v>
      </c>
      <c r="H129" s="1149">
        <f t="shared" si="6"/>
        <v>4006.3</v>
      </c>
      <c r="I129" s="1150"/>
    </row>
    <row r="130" spans="1:9">
      <c r="A130" s="708">
        <v>32</v>
      </c>
      <c r="B130" s="709">
        <v>32</v>
      </c>
      <c r="C130" s="1115">
        <f>+'Statens skalatrin'!N99</f>
        <v>296125.21000000002</v>
      </c>
      <c r="D130" s="1116"/>
      <c r="E130" s="193">
        <f t="shared" si="4"/>
        <v>24677.1</v>
      </c>
      <c r="F130" s="223">
        <f>ROUND(C130*(1+'Løntabel gældende fra'!$D$7/100),0)</f>
        <v>326696</v>
      </c>
      <c r="G130" s="193">
        <f>ROUND(F130/12,2)</f>
        <v>27224.67</v>
      </c>
      <c r="H130" s="1149">
        <f t="shared" si="6"/>
        <v>4083.7</v>
      </c>
      <c r="I130" s="1150"/>
    </row>
    <row r="131" spans="1:9" ht="15" customHeight="1" thickBot="1">
      <c r="A131" s="151">
        <v>33</v>
      </c>
      <c r="B131" s="389">
        <v>33</v>
      </c>
      <c r="C131" s="1120">
        <f>+'Statens skalatrin'!N102</f>
        <v>301881.8</v>
      </c>
      <c r="D131" s="1121"/>
      <c r="E131" s="172">
        <f t="shared" si="4"/>
        <v>25156.82</v>
      </c>
      <c r="F131" s="224">
        <f>ROUND(C131*(1+'Løntabel gældende fra'!$D$7/100),0)</f>
        <v>333047</v>
      </c>
      <c r="G131" s="172">
        <f>ROUND(F131/12,2)</f>
        <v>27753.919999999998</v>
      </c>
      <c r="H131" s="1149">
        <f t="shared" si="6"/>
        <v>4163.09</v>
      </c>
      <c r="I131" s="1150"/>
    </row>
    <row r="132" spans="1:9" ht="20" customHeight="1">
      <c r="A132" s="1151" t="s">
        <v>92</v>
      </c>
      <c r="B132" s="1152"/>
      <c r="C132" s="1152"/>
      <c r="D132" s="1152"/>
      <c r="E132" s="1152"/>
      <c r="F132" s="1152"/>
      <c r="G132" s="1152"/>
      <c r="H132" s="1152"/>
      <c r="I132" s="1153"/>
    </row>
    <row r="133" spans="1:9" ht="17.25" customHeight="1">
      <c r="A133" s="1154" t="str">
        <f>'Løntabel gældende fra'!$D$1</f>
        <v>01/04/2020</v>
      </c>
      <c r="B133" s="1155"/>
      <c r="C133" s="1155"/>
      <c r="D133" s="1155"/>
      <c r="E133" s="1155"/>
      <c r="F133" s="1155"/>
      <c r="G133" s="1155"/>
      <c r="H133" s="1155"/>
      <c r="I133" s="1156"/>
    </row>
    <row r="134" spans="1:9" ht="14.25" customHeight="1" thickBot="1">
      <c r="A134" s="1301" t="s">
        <v>89</v>
      </c>
      <c r="B134" s="1302"/>
      <c r="C134" s="1302"/>
      <c r="D134" s="1302"/>
      <c r="E134" s="1302"/>
      <c r="F134" s="1303"/>
      <c r="G134" s="1303"/>
      <c r="H134" s="1303"/>
      <c r="I134" s="1304"/>
    </row>
    <row r="135" spans="1:9">
      <c r="A135" s="1305" t="s">
        <v>0</v>
      </c>
      <c r="B135" s="1164" t="s">
        <v>20</v>
      </c>
      <c r="C135" s="1165"/>
      <c r="D135" s="1165"/>
      <c r="E135" s="1165"/>
      <c r="F135" s="1159" t="s">
        <v>94</v>
      </c>
      <c r="G135" s="1160"/>
      <c r="H135" s="784">
        <v>0.17299999999999999</v>
      </c>
      <c r="I135" s="785"/>
    </row>
    <row r="136" spans="1:9" ht="15" thickBot="1">
      <c r="A136" s="1306"/>
      <c r="B136" s="1161"/>
      <c r="C136" s="1162"/>
      <c r="D136" s="1162"/>
      <c r="E136" s="1162"/>
      <c r="F136" s="1161" t="s">
        <v>448</v>
      </c>
      <c r="G136" s="1162"/>
      <c r="H136" s="1162"/>
      <c r="I136" s="1163"/>
    </row>
    <row r="137" spans="1:9">
      <c r="A137" s="166">
        <v>1</v>
      </c>
      <c r="B137" s="1134">
        <f>E10</f>
        <v>25714.13</v>
      </c>
      <c r="C137" s="1129"/>
      <c r="D137" s="1129"/>
      <c r="E137" s="1129"/>
      <c r="F137" s="1134">
        <f>ROUND(B137*$H$135,2)</f>
        <v>4448.54</v>
      </c>
      <c r="G137" s="1129"/>
      <c r="H137" s="1129"/>
      <c r="I137" s="1132"/>
    </row>
    <row r="138" spans="1:9">
      <c r="A138" s="99">
        <v>2</v>
      </c>
      <c r="B138" s="1135">
        <f>E11</f>
        <v>27401.07</v>
      </c>
      <c r="C138" s="1133"/>
      <c r="D138" s="1133"/>
      <c r="E138" s="1133"/>
      <c r="F138" s="1135">
        <f t="shared" ref="F138:F140" si="7">ROUND(B138*$H$135,2)</f>
        <v>4740.3900000000003</v>
      </c>
      <c r="G138" s="1133"/>
      <c r="H138" s="1133"/>
      <c r="I138" s="1136"/>
    </row>
    <row r="139" spans="1:9">
      <c r="A139" s="99">
        <v>3</v>
      </c>
      <c r="B139" s="1135">
        <f>E12</f>
        <v>29943.57</v>
      </c>
      <c r="C139" s="1133"/>
      <c r="D139" s="1133"/>
      <c r="E139" s="1133"/>
      <c r="F139" s="1135">
        <f t="shared" si="7"/>
        <v>5180.24</v>
      </c>
      <c r="G139" s="1133"/>
      <c r="H139" s="1133"/>
      <c r="I139" s="1136"/>
    </row>
    <row r="140" spans="1:9" ht="15" thickBot="1">
      <c r="A140" s="100">
        <v>4</v>
      </c>
      <c r="B140" s="1137">
        <f>E13</f>
        <v>32305.32</v>
      </c>
      <c r="C140" s="1119"/>
      <c r="D140" s="1119"/>
      <c r="E140" s="1119"/>
      <c r="F140" s="1137">
        <f t="shared" si="7"/>
        <v>5588.82</v>
      </c>
      <c r="G140" s="1119"/>
      <c r="H140" s="1119"/>
      <c r="I140" s="1122"/>
    </row>
    <row r="141" spans="1:9" ht="19" thickBot="1">
      <c r="A141" s="1258" t="s">
        <v>90</v>
      </c>
      <c r="B141" s="1259"/>
      <c r="C141" s="1259"/>
      <c r="D141" s="1259"/>
      <c r="E141" s="1259"/>
      <c r="F141" s="1259"/>
      <c r="G141" s="1259"/>
      <c r="H141" s="1259"/>
      <c r="I141" s="435"/>
    </row>
    <row r="142" spans="1:9">
      <c r="A142" s="1168" t="s">
        <v>105</v>
      </c>
      <c r="B142" s="1168" t="s">
        <v>138</v>
      </c>
      <c r="C142" s="1169" t="s">
        <v>23</v>
      </c>
      <c r="D142" s="1169"/>
      <c r="E142" s="1169"/>
      <c r="F142" s="1170" t="s">
        <v>24</v>
      </c>
      <c r="G142" s="1169"/>
      <c r="H142" s="1143" t="s">
        <v>94</v>
      </c>
      <c r="I142" s="1144"/>
    </row>
    <row r="143" spans="1:9" ht="15" customHeight="1" thickBot="1">
      <c r="A143" s="1168"/>
      <c r="B143" s="1168"/>
      <c r="C143" s="1139">
        <v>40999</v>
      </c>
      <c r="D143" s="1139"/>
      <c r="E143" s="1139"/>
      <c r="F143" s="1138" t="str">
        <f>'Løntabel gældende fra'!$D$1</f>
        <v>01/04/2020</v>
      </c>
      <c r="G143" s="1139"/>
      <c r="H143" s="1145"/>
      <c r="I143" s="1146"/>
    </row>
    <row r="144" spans="1:9" ht="16" thickBot="1">
      <c r="A144" s="1217"/>
      <c r="B144" s="1168"/>
      <c r="C144" s="1198" t="s">
        <v>87</v>
      </c>
      <c r="D144" s="1144"/>
      <c r="E144" s="704" t="s">
        <v>88</v>
      </c>
      <c r="F144" s="705" t="s">
        <v>87</v>
      </c>
      <c r="G144" s="706" t="s">
        <v>88</v>
      </c>
      <c r="H144" s="1166">
        <v>0.15</v>
      </c>
      <c r="I144" s="1167"/>
    </row>
    <row r="145" spans="1:10" ht="19" customHeight="1">
      <c r="A145" s="145">
        <v>1</v>
      </c>
      <c r="B145" s="388">
        <v>24</v>
      </c>
      <c r="C145" s="1130">
        <f>+'Statens skalatrin'!N75</f>
        <v>255037.97</v>
      </c>
      <c r="D145" s="1131"/>
      <c r="E145" s="171">
        <f>ROUND(C145/12,2)</f>
        <v>21253.16</v>
      </c>
      <c r="F145" s="222">
        <f>ROUND(C145*(1+'Løntabel gældende fra'!$D$7/100),0)</f>
        <v>281367</v>
      </c>
      <c r="G145" s="171">
        <f>ROUND(F145/12,2)</f>
        <v>23447.25</v>
      </c>
      <c r="H145" s="1149">
        <f>ROUND(G145*$H$144,2)</f>
        <v>3517.09</v>
      </c>
      <c r="I145" s="1150"/>
    </row>
    <row r="146" spans="1:10" ht="14" customHeight="1">
      <c r="A146" s="708">
        <v>1</v>
      </c>
      <c r="B146" s="709">
        <v>25</v>
      </c>
      <c r="C146" s="1115">
        <f>+'Statens skalatrin'!N78</f>
        <v>259721.7</v>
      </c>
      <c r="D146" s="1116"/>
      <c r="E146" s="193">
        <f t="shared" ref="E146:E159" si="8">ROUND(C146/12,2)</f>
        <v>21643.48</v>
      </c>
      <c r="F146" s="223">
        <f>ROUND(C146*(1+'Løntabel gældende fra'!$D$7/100),0)</f>
        <v>286534</v>
      </c>
      <c r="G146" s="193">
        <f t="shared" ref="G146:G159" si="9">ROUND(F146/12,2)</f>
        <v>23877.83</v>
      </c>
      <c r="H146" s="1149">
        <f t="shared" ref="H146:H159" si="10">ROUND(G146*$H$144,2)</f>
        <v>3581.67</v>
      </c>
      <c r="I146" s="1150"/>
      <c r="J146" s="51"/>
    </row>
    <row r="147" spans="1:10">
      <c r="A147" s="708">
        <v>2</v>
      </c>
      <c r="B147" s="709">
        <v>27</v>
      </c>
      <c r="C147" s="1115">
        <f>+'Statens skalatrin'!N84</f>
        <v>269459.90000000002</v>
      </c>
      <c r="D147" s="1116"/>
      <c r="E147" s="193">
        <f t="shared" si="8"/>
        <v>22454.99</v>
      </c>
      <c r="F147" s="223">
        <f>ROUND(C147*(1+'Løntabel gældende fra'!$D$7/100),0)</f>
        <v>297278</v>
      </c>
      <c r="G147" s="193">
        <f t="shared" si="9"/>
        <v>24773.17</v>
      </c>
      <c r="H147" s="1149">
        <f t="shared" si="10"/>
        <v>3715.98</v>
      </c>
      <c r="I147" s="1150"/>
    </row>
    <row r="148" spans="1:10">
      <c r="A148" s="708">
        <v>2</v>
      </c>
      <c r="B148" s="709">
        <v>29</v>
      </c>
      <c r="C148" s="1115">
        <f>+'Statens skalatrin'!N90</f>
        <v>279714.99</v>
      </c>
      <c r="D148" s="1116"/>
      <c r="E148" s="193">
        <f t="shared" si="8"/>
        <v>23309.58</v>
      </c>
      <c r="F148" s="223">
        <f>ROUND(C148*(1+'Løntabel gældende fra'!$D$7/100),0)</f>
        <v>308592</v>
      </c>
      <c r="G148" s="193">
        <f t="shared" si="9"/>
        <v>25716</v>
      </c>
      <c r="H148" s="1149">
        <f t="shared" si="10"/>
        <v>3857.4</v>
      </c>
      <c r="I148" s="1150"/>
    </row>
    <row r="149" spans="1:10">
      <c r="A149" s="708">
        <v>3</v>
      </c>
      <c r="B149" s="709">
        <v>31</v>
      </c>
      <c r="C149" s="1115">
        <f>+'Statens skalatrin'!N96</f>
        <v>290512.64000000001</v>
      </c>
      <c r="D149" s="1116"/>
      <c r="E149" s="193">
        <f t="shared" si="8"/>
        <v>24209.39</v>
      </c>
      <c r="F149" s="223">
        <f>ROUND(C149*(1+'Løntabel gældende fra'!$D$7/100),0)</f>
        <v>320504</v>
      </c>
      <c r="G149" s="193">
        <f t="shared" si="9"/>
        <v>26708.67</v>
      </c>
      <c r="H149" s="1149">
        <f t="shared" si="10"/>
        <v>4006.3</v>
      </c>
      <c r="I149" s="1150"/>
    </row>
    <row r="150" spans="1:10">
      <c r="A150" s="708">
        <v>3</v>
      </c>
      <c r="B150" s="709">
        <v>33</v>
      </c>
      <c r="C150" s="1115">
        <f>+'Statens skalatrin'!N102</f>
        <v>301881.8</v>
      </c>
      <c r="D150" s="1116"/>
      <c r="E150" s="193">
        <f t="shared" si="8"/>
        <v>25156.82</v>
      </c>
      <c r="F150" s="223">
        <f>ROUND(C150*(1+'Løntabel gældende fra'!$D$7/100),0)</f>
        <v>333047</v>
      </c>
      <c r="G150" s="193">
        <f t="shared" si="9"/>
        <v>27753.919999999998</v>
      </c>
      <c r="H150" s="1149">
        <f t="shared" si="10"/>
        <v>4163.09</v>
      </c>
      <c r="I150" s="1150"/>
    </row>
    <row r="151" spans="1:10">
      <c r="A151" s="708">
        <v>3</v>
      </c>
      <c r="B151" s="709">
        <v>35</v>
      </c>
      <c r="C151" s="1115">
        <f>+'Statens skalatrin'!N108</f>
        <v>313854.56</v>
      </c>
      <c r="D151" s="1116"/>
      <c r="E151" s="193">
        <f t="shared" si="8"/>
        <v>26154.55</v>
      </c>
      <c r="F151" s="223">
        <f>ROUND(C151*(1+'Løntabel gældende fra'!$D$7/100),0)</f>
        <v>346256</v>
      </c>
      <c r="G151" s="193">
        <f t="shared" si="9"/>
        <v>28854.67</v>
      </c>
      <c r="H151" s="1149">
        <f t="shared" si="10"/>
        <v>4328.2</v>
      </c>
      <c r="I151" s="1150"/>
    </row>
    <row r="152" spans="1:10">
      <c r="A152" s="708">
        <v>3</v>
      </c>
      <c r="B152" s="709">
        <v>37</v>
      </c>
      <c r="C152" s="1115">
        <f>+'Statens skalatrin'!N114</f>
        <v>326457.34000000003</v>
      </c>
      <c r="D152" s="1116"/>
      <c r="E152" s="193">
        <f t="shared" si="8"/>
        <v>27204.78</v>
      </c>
      <c r="F152" s="223">
        <f>ROUND(C152*(1+'Løntabel gældende fra'!$D$7/100),0)</f>
        <v>360159</v>
      </c>
      <c r="G152" s="193">
        <f t="shared" si="9"/>
        <v>30013.25</v>
      </c>
      <c r="H152" s="1149">
        <f t="shared" si="10"/>
        <v>4501.99</v>
      </c>
      <c r="I152" s="1150"/>
    </row>
    <row r="153" spans="1:10">
      <c r="A153" s="708">
        <v>3</v>
      </c>
      <c r="B153" s="709">
        <v>40</v>
      </c>
      <c r="C153" s="1115">
        <f>+'Statens skalatrin'!N123</f>
        <v>347027.46</v>
      </c>
      <c r="D153" s="1116"/>
      <c r="E153" s="193">
        <f t="shared" si="8"/>
        <v>28918.959999999999</v>
      </c>
      <c r="F153" s="223">
        <f>ROUND(C153*(1+'Løntabel gældende fra'!$D$7/100),0)</f>
        <v>382853</v>
      </c>
      <c r="G153" s="193">
        <f t="shared" si="9"/>
        <v>31904.42</v>
      </c>
      <c r="H153" s="1149">
        <f t="shared" si="10"/>
        <v>4785.66</v>
      </c>
      <c r="I153" s="1150"/>
    </row>
    <row r="154" spans="1:10">
      <c r="A154" s="708">
        <v>35</v>
      </c>
      <c r="B154" s="709">
        <v>35</v>
      </c>
      <c r="C154" s="1115">
        <f>+C151</f>
        <v>313854.56</v>
      </c>
      <c r="D154" s="1116"/>
      <c r="E154" s="193">
        <f t="shared" si="8"/>
        <v>26154.55</v>
      </c>
      <c r="F154" s="223">
        <f>ROUND(C154*(1+'Løntabel gældende fra'!$D$7/100),0)</f>
        <v>346256</v>
      </c>
      <c r="G154" s="193">
        <f t="shared" si="9"/>
        <v>28854.67</v>
      </c>
      <c r="H154" s="1149">
        <f t="shared" si="10"/>
        <v>4328.2</v>
      </c>
      <c r="I154" s="1150"/>
    </row>
    <row r="155" spans="1:10">
      <c r="A155" s="708">
        <v>36</v>
      </c>
      <c r="B155" s="709">
        <v>36</v>
      </c>
      <c r="C155" s="1115">
        <f>+'Statens skalatrin'!N111</f>
        <v>320074.68</v>
      </c>
      <c r="D155" s="1116"/>
      <c r="E155" s="193">
        <f t="shared" si="8"/>
        <v>26672.89</v>
      </c>
      <c r="F155" s="223">
        <f>ROUND(C155*(1+'Løntabel gældende fra'!$D$7/100),0)</f>
        <v>353118</v>
      </c>
      <c r="G155" s="193">
        <f t="shared" si="9"/>
        <v>29426.5</v>
      </c>
      <c r="H155" s="1149">
        <f t="shared" si="10"/>
        <v>4413.9799999999996</v>
      </c>
      <c r="I155" s="1150"/>
    </row>
    <row r="156" spans="1:10">
      <c r="A156" s="708">
        <v>38</v>
      </c>
      <c r="B156" s="709">
        <v>38</v>
      </c>
      <c r="C156" s="1115">
        <f>+'Statens skalatrin'!N117</f>
        <v>333128.88</v>
      </c>
      <c r="D156" s="1116"/>
      <c r="E156" s="193">
        <f t="shared" si="8"/>
        <v>27760.74</v>
      </c>
      <c r="F156" s="223">
        <f>ROUND(C156*(1+'Løntabel gældende fra'!$D$7/100),0)</f>
        <v>367520</v>
      </c>
      <c r="G156" s="193">
        <f t="shared" si="9"/>
        <v>30626.67</v>
      </c>
      <c r="H156" s="1149">
        <f t="shared" si="10"/>
        <v>4594</v>
      </c>
      <c r="I156" s="1150"/>
    </row>
    <row r="157" spans="1:10">
      <c r="A157" s="708">
        <v>40</v>
      </c>
      <c r="B157" s="709">
        <v>40</v>
      </c>
      <c r="C157" s="1115">
        <f>+'Statens skalatrin'!N123</f>
        <v>347027.46</v>
      </c>
      <c r="D157" s="1116"/>
      <c r="E157" s="193">
        <f t="shared" si="8"/>
        <v>28918.959999999999</v>
      </c>
      <c r="F157" s="223">
        <f>ROUND(C157*(1+'Løntabel gældende fra'!$D$7/100),0)</f>
        <v>382853</v>
      </c>
      <c r="G157" s="193">
        <f t="shared" si="9"/>
        <v>31904.42</v>
      </c>
      <c r="H157" s="1149">
        <f t="shared" si="10"/>
        <v>4785.66</v>
      </c>
      <c r="I157" s="1150"/>
    </row>
    <row r="158" spans="1:10">
      <c r="A158" s="708">
        <v>41</v>
      </c>
      <c r="B158" s="709">
        <v>41</v>
      </c>
      <c r="C158" s="1115">
        <f>+'Statens skalatrin'!N126</f>
        <v>354249.23</v>
      </c>
      <c r="D158" s="1116"/>
      <c r="E158" s="193">
        <f t="shared" si="8"/>
        <v>29520.77</v>
      </c>
      <c r="F158" s="223">
        <f>ROUND(C158*(1+'Løntabel gældende fra'!$D$7/100),0)</f>
        <v>390821</v>
      </c>
      <c r="G158" s="193">
        <f t="shared" si="9"/>
        <v>32568.42</v>
      </c>
      <c r="H158" s="1149">
        <f t="shared" si="10"/>
        <v>4885.26</v>
      </c>
      <c r="I158" s="1150"/>
    </row>
    <row r="159" spans="1:10" ht="15" thickBot="1">
      <c r="A159" s="151">
        <v>42</v>
      </c>
      <c r="B159" s="389">
        <v>42</v>
      </c>
      <c r="C159" s="1120">
        <f>+'Statens skalatrin'!N129</f>
        <v>361659.2</v>
      </c>
      <c r="D159" s="1121"/>
      <c r="E159" s="172">
        <f t="shared" si="8"/>
        <v>30138.27</v>
      </c>
      <c r="F159" s="224">
        <f>ROUND(C159*(1+'Løntabel gældende fra'!$D$7/100),0)</f>
        <v>398995</v>
      </c>
      <c r="G159" s="172">
        <f t="shared" si="9"/>
        <v>33249.58</v>
      </c>
      <c r="H159" s="1149">
        <f t="shared" si="10"/>
        <v>4987.4399999999996</v>
      </c>
      <c r="I159" s="1150"/>
    </row>
    <row r="160" spans="1:10">
      <c r="A160" s="1157" t="s">
        <v>468</v>
      </c>
      <c r="B160" s="1157"/>
      <c r="C160" s="1157"/>
      <c r="D160" s="1157"/>
      <c r="E160" s="1157"/>
      <c r="F160" s="1157"/>
      <c r="G160" s="1157"/>
      <c r="H160" s="1157"/>
      <c r="I160" s="1157"/>
    </row>
    <row r="161" spans="1:9" ht="15" hidden="1" customHeight="1">
      <c r="A161" s="1158"/>
      <c r="B161" s="1158"/>
      <c r="C161" s="1158"/>
      <c r="D161" s="1158"/>
      <c r="E161" s="1158"/>
      <c r="F161" s="1158"/>
      <c r="G161" s="1158"/>
      <c r="H161" s="1158"/>
      <c r="I161" s="1158"/>
    </row>
    <row r="162" spans="1:9" s="76" customFormat="1" ht="15.75" customHeight="1">
      <c r="A162" s="1158"/>
      <c r="B162" s="1158"/>
      <c r="C162" s="1158"/>
      <c r="D162" s="1158"/>
      <c r="E162" s="1158"/>
      <c r="F162" s="1158"/>
      <c r="G162" s="1158"/>
      <c r="H162" s="1158"/>
      <c r="I162" s="1158"/>
    </row>
    <row r="163" spans="1:9" s="76" customFormat="1" ht="15">
      <c r="A163" s="1158"/>
      <c r="B163" s="1158"/>
      <c r="C163" s="1158"/>
      <c r="D163" s="1158"/>
      <c r="E163" s="1158"/>
      <c r="F163" s="1158"/>
      <c r="G163" s="1158"/>
      <c r="H163" s="1158"/>
      <c r="I163" s="1158"/>
    </row>
    <row r="164" spans="1:9" s="76" customFormat="1" ht="15">
      <c r="A164" s="1158"/>
      <c r="B164" s="1158"/>
      <c r="C164" s="1158"/>
      <c r="D164" s="1158"/>
      <c r="E164" s="1158"/>
      <c r="F164" s="1158"/>
      <c r="G164" s="1158"/>
      <c r="H164" s="1158"/>
      <c r="I164" s="1158"/>
    </row>
    <row r="165" spans="1:9" s="76" customFormat="1" ht="15">
      <c r="A165" s="1158"/>
      <c r="B165" s="1158"/>
      <c r="C165" s="1158"/>
      <c r="D165" s="1158"/>
      <c r="E165" s="1158"/>
      <c r="F165" s="1158"/>
      <c r="G165" s="1158"/>
      <c r="H165" s="1158"/>
      <c r="I165" s="1158"/>
    </row>
    <row r="166" spans="1:9" s="79" customFormat="1" ht="1" customHeight="1">
      <c r="A166" s="1171"/>
      <c r="B166" s="1171"/>
      <c r="C166" s="1171"/>
      <c r="D166" s="1171"/>
      <c r="E166" s="1171"/>
      <c r="F166" s="1171"/>
      <c r="G166" s="1171"/>
      <c r="H166" s="1171"/>
      <c r="I166" s="76"/>
    </row>
    <row r="167" spans="1:9" s="76" customFormat="1" ht="15">
      <c r="A167" s="82"/>
      <c r="B167" s="82"/>
      <c r="C167" s="82"/>
      <c r="D167" s="83"/>
      <c r="E167" s="81"/>
    </row>
    <row r="168" spans="1:9" s="76" customFormat="1" ht="15">
      <c r="A168" s="82"/>
      <c r="B168" s="82"/>
      <c r="C168" s="82"/>
      <c r="D168" s="84"/>
      <c r="E168" s="85"/>
    </row>
    <row r="169" spans="1:9" s="76" customFormat="1" ht="15">
      <c r="A169" s="7"/>
      <c r="B169" s="7"/>
      <c r="C169" s="7"/>
      <c r="D169" s="7"/>
      <c r="E169" s="7"/>
      <c r="F169" s="7"/>
      <c r="G169" s="7"/>
      <c r="H169" s="7"/>
      <c r="I169" s="7"/>
    </row>
    <row r="170" spans="1:9">
      <c r="A170" s="7"/>
      <c r="B170" s="7"/>
      <c r="C170" s="7"/>
      <c r="D170" s="7"/>
      <c r="E170" s="7"/>
      <c r="F170" s="7"/>
      <c r="G170" s="7"/>
      <c r="H170" s="7"/>
      <c r="I170" s="7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sheet="1" objects="1" scenarios="1"/>
  <mergeCells count="241">
    <mergeCell ref="C118:D118"/>
    <mergeCell ref="C115:E115"/>
    <mergeCell ref="F115:G115"/>
    <mergeCell ref="A49:G49"/>
    <mergeCell ref="B54:C54"/>
    <mergeCell ref="D54:E54"/>
    <mergeCell ref="B51:C51"/>
    <mergeCell ref="D51:E51"/>
    <mergeCell ref="B52:C52"/>
    <mergeCell ref="A50:G50"/>
    <mergeCell ref="F116:G116"/>
    <mergeCell ref="A115:A117"/>
    <mergeCell ref="A85:I85"/>
    <mergeCell ref="A86:I86"/>
    <mergeCell ref="A79:I79"/>
    <mergeCell ref="A108:A109"/>
    <mergeCell ref="F102:G102"/>
    <mergeCell ref="F99:G99"/>
    <mergeCell ref="B115:B117"/>
    <mergeCell ref="C117:D117"/>
    <mergeCell ref="F108:G108"/>
    <mergeCell ref="A107:I107"/>
    <mergeCell ref="D100:E100"/>
    <mergeCell ref="D94:E94"/>
    <mergeCell ref="A134:I134"/>
    <mergeCell ref="H122:I122"/>
    <mergeCell ref="H123:I123"/>
    <mergeCell ref="H124:I124"/>
    <mergeCell ref="H125:I125"/>
    <mergeCell ref="H121:I121"/>
    <mergeCell ref="C143:E143"/>
    <mergeCell ref="F143:G143"/>
    <mergeCell ref="A141:H141"/>
    <mergeCell ref="A142:A144"/>
    <mergeCell ref="A135:A136"/>
    <mergeCell ref="C121:D121"/>
    <mergeCell ref="C128:D128"/>
    <mergeCell ref="H128:I128"/>
    <mergeCell ref="H129:I129"/>
    <mergeCell ref="H130:I130"/>
    <mergeCell ref="A93:C94"/>
    <mergeCell ref="F93:G93"/>
    <mergeCell ref="D93:E93"/>
    <mergeCell ref="H108:I108"/>
    <mergeCell ref="B108:E109"/>
    <mergeCell ref="A101:C101"/>
    <mergeCell ref="F101:G101"/>
    <mergeCell ref="F43:G43"/>
    <mergeCell ref="F44:G44"/>
    <mergeCell ref="A89:C90"/>
    <mergeCell ref="A75:G76"/>
    <mergeCell ref="D47:E47"/>
    <mergeCell ref="D52:E52"/>
    <mergeCell ref="F56:G56"/>
    <mergeCell ref="A73:I73"/>
    <mergeCell ref="F55:G55"/>
    <mergeCell ref="D46:E46"/>
    <mergeCell ref="F109:I109"/>
    <mergeCell ref="A58:G58"/>
    <mergeCell ref="A59:G59"/>
    <mergeCell ref="A60:A61"/>
    <mergeCell ref="B60:C60"/>
    <mergeCell ref="D60:E60"/>
    <mergeCell ref="D99:E99"/>
    <mergeCell ref="D102:E102"/>
    <mergeCell ref="D101:E101"/>
    <mergeCell ref="A105:I105"/>
    <mergeCell ref="A98:G98"/>
    <mergeCell ref="A106:I106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F89:G89"/>
    <mergeCell ref="A88:G88"/>
    <mergeCell ref="A68:I68"/>
    <mergeCell ref="A74:I74"/>
    <mergeCell ref="A80:I80"/>
    <mergeCell ref="D90:E90"/>
    <mergeCell ref="F90:G90"/>
    <mergeCell ref="F94:G94"/>
    <mergeCell ref="B64:C64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A166:H166"/>
    <mergeCell ref="A51:A52"/>
    <mergeCell ref="D89:E89"/>
    <mergeCell ref="A100:C100"/>
    <mergeCell ref="F100:G100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1:G82"/>
    <mergeCell ref="A83:G83"/>
    <mergeCell ref="A84:G84"/>
    <mergeCell ref="F34:I34"/>
    <mergeCell ref="C144:D144"/>
    <mergeCell ref="B47:C47"/>
    <mergeCell ref="H120:I120"/>
    <mergeCell ref="A77:G77"/>
    <mergeCell ref="C147:D147"/>
    <mergeCell ref="C148:D148"/>
    <mergeCell ref="C149:D149"/>
    <mergeCell ref="C150:D150"/>
    <mergeCell ref="F135:G135"/>
    <mergeCell ref="F136:I136"/>
    <mergeCell ref="B135:E136"/>
    <mergeCell ref="B137:E137"/>
    <mergeCell ref="B140:E140"/>
    <mergeCell ref="F137:I137"/>
    <mergeCell ref="F138:I138"/>
    <mergeCell ref="F139:I139"/>
    <mergeCell ref="F140:I140"/>
    <mergeCell ref="H142:I143"/>
    <mergeCell ref="H144:I144"/>
    <mergeCell ref="H145:I145"/>
    <mergeCell ref="H146:I146"/>
    <mergeCell ref="H147:I147"/>
    <mergeCell ref="H148:I148"/>
    <mergeCell ref="H149:I149"/>
    <mergeCell ref="B142:B144"/>
    <mergeCell ref="C142:E142"/>
    <mergeCell ref="F142:G142"/>
    <mergeCell ref="A160:I165"/>
    <mergeCell ref="H158:I158"/>
    <mergeCell ref="H159:I159"/>
    <mergeCell ref="C159:D159"/>
    <mergeCell ref="C151:D151"/>
    <mergeCell ref="C152:D152"/>
    <mergeCell ref="C154:D154"/>
    <mergeCell ref="C155:D155"/>
    <mergeCell ref="C156:D156"/>
    <mergeCell ref="C157:D157"/>
    <mergeCell ref="C153:D153"/>
    <mergeCell ref="C158:D158"/>
    <mergeCell ref="H151:I151"/>
    <mergeCell ref="H152:I152"/>
    <mergeCell ref="H153:I153"/>
    <mergeCell ref="H154:I154"/>
    <mergeCell ref="H155:I155"/>
    <mergeCell ref="H156:I156"/>
    <mergeCell ref="H157:I157"/>
    <mergeCell ref="H117:I117"/>
    <mergeCell ref="H118:I118"/>
    <mergeCell ref="H119:I119"/>
    <mergeCell ref="H150:I150"/>
    <mergeCell ref="H131:I131"/>
    <mergeCell ref="A132:I132"/>
    <mergeCell ref="A133:I133"/>
    <mergeCell ref="H127:I127"/>
    <mergeCell ref="C145:D145"/>
    <mergeCell ref="H126:I126"/>
    <mergeCell ref="C119:D119"/>
    <mergeCell ref="C130:D130"/>
    <mergeCell ref="C131:D131"/>
    <mergeCell ref="C125:D125"/>
    <mergeCell ref="C126:D126"/>
    <mergeCell ref="C127:D127"/>
    <mergeCell ref="B138:E138"/>
    <mergeCell ref="B139:E139"/>
    <mergeCell ref="C129:D129"/>
    <mergeCell ref="C120:D120"/>
    <mergeCell ref="C122:D122"/>
    <mergeCell ref="C123:D123"/>
    <mergeCell ref="C124:D124"/>
    <mergeCell ref="C146:D146"/>
    <mergeCell ref="F110:I110"/>
    <mergeCell ref="F111:I111"/>
    <mergeCell ref="F112:I112"/>
    <mergeCell ref="F113:I113"/>
    <mergeCell ref="B110:E110"/>
    <mergeCell ref="B111:E111"/>
    <mergeCell ref="B112:E112"/>
    <mergeCell ref="B113:E113"/>
    <mergeCell ref="C116:E116"/>
    <mergeCell ref="A114:I114"/>
    <mergeCell ref="H115:I116"/>
    <mergeCell ref="D64:E64"/>
    <mergeCell ref="F64:G64"/>
    <mergeCell ref="B65:C65"/>
    <mergeCell ref="D65:E65"/>
    <mergeCell ref="F65:G65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103" max="16383" man="1"/>
    <brk id="1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6"/>
  <sheetViews>
    <sheetView view="pageBreakPreview" zoomScale="130" zoomScaleSheetLayoutView="130" workbookViewId="0">
      <selection activeCell="A7" sqref="A7:B8"/>
    </sheetView>
  </sheetViews>
  <sheetFormatPr baseColWidth="10" defaultColWidth="8.83203125" defaultRowHeight="14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customWidth="1"/>
    <col min="9" max="9" width="26.6640625" style="2" customWidth="1"/>
    <col min="10" max="16384" width="8.83203125" style="2"/>
  </cols>
  <sheetData>
    <row r="1" spans="1:16" s="27" customFormat="1" ht="28" customHeight="1">
      <c r="A1" s="1230" t="s">
        <v>509</v>
      </c>
      <c r="B1" s="1231"/>
      <c r="C1" s="1231"/>
      <c r="D1" s="1231"/>
      <c r="E1" s="1231"/>
      <c r="F1" s="1231"/>
      <c r="G1" s="1232"/>
      <c r="H1" s="2"/>
      <c r="N1" s="1010"/>
      <c r="O1" s="1010"/>
      <c r="P1" s="1010"/>
    </row>
    <row r="2" spans="1:16" s="27" customFormat="1" ht="27" customHeight="1" thickBot="1">
      <c r="A2" s="1363" t="s">
        <v>518</v>
      </c>
      <c r="B2" s="1364"/>
      <c r="C2" s="1364"/>
      <c r="D2" s="1364"/>
      <c r="E2" s="1364"/>
      <c r="F2" s="1364"/>
      <c r="G2" s="1365"/>
      <c r="H2" s="2"/>
      <c r="N2" s="1010"/>
      <c r="O2" s="1010"/>
      <c r="P2" s="1010"/>
    </row>
    <row r="3" spans="1:16" s="27" customFormat="1" ht="18" customHeight="1" thickBot="1">
      <c r="A3" s="1038"/>
      <c r="B3" s="1038"/>
      <c r="C3" s="1038"/>
      <c r="D3" s="1038"/>
      <c r="E3" s="1038"/>
      <c r="F3" s="1038"/>
      <c r="G3" s="1037"/>
      <c r="H3" s="2"/>
      <c r="N3" s="1010"/>
      <c r="O3" s="1010"/>
      <c r="P3" s="1010"/>
    </row>
    <row r="4" spans="1:16" ht="14" customHeight="1">
      <c r="A4" s="1357" t="s">
        <v>464</v>
      </c>
      <c r="B4" s="1358"/>
      <c r="C4" s="1358"/>
      <c r="D4" s="1358"/>
      <c r="E4" s="1358"/>
      <c r="F4" s="1359"/>
      <c r="G4" s="89"/>
      <c r="N4" s="1373"/>
      <c r="O4" s="1373"/>
      <c r="P4" s="1373"/>
    </row>
    <row r="5" spans="1:16" ht="14" customHeight="1">
      <c r="A5" s="1360"/>
      <c r="B5" s="1361"/>
      <c r="C5" s="1361"/>
      <c r="D5" s="1361"/>
      <c r="E5" s="1361"/>
      <c r="F5" s="1362"/>
      <c r="G5" s="89"/>
      <c r="H5" s="38"/>
      <c r="N5" s="568"/>
      <c r="O5" s="568"/>
      <c r="P5" s="568"/>
    </row>
    <row r="6" spans="1:16" customFormat="1" ht="15" customHeight="1" thickBot="1">
      <c r="A6" s="1221" t="s">
        <v>314</v>
      </c>
      <c r="B6" s="1222"/>
      <c r="C6" s="1222"/>
      <c r="D6" s="1222"/>
      <c r="E6" s="1222"/>
      <c r="F6" s="1223"/>
      <c r="G6" s="89"/>
      <c r="H6" s="38"/>
    </row>
    <row r="7" spans="1:16" customFormat="1" ht="15" customHeight="1">
      <c r="A7" s="1353"/>
      <c r="B7" s="1354"/>
      <c r="C7" s="1397" t="s">
        <v>132</v>
      </c>
      <c r="D7" s="1398"/>
      <c r="E7" s="1397" t="s">
        <v>352</v>
      </c>
      <c r="F7" s="1398"/>
      <c r="G7" s="77"/>
      <c r="H7" s="38"/>
    </row>
    <row r="8" spans="1:16" customFormat="1" ht="24" customHeight="1" thickBot="1">
      <c r="A8" s="1355"/>
      <c r="B8" s="1356"/>
      <c r="C8" s="1387">
        <v>40999</v>
      </c>
      <c r="D8" s="1388"/>
      <c r="E8" s="1393" t="str">
        <f>'Løntabel gældende fra'!D1</f>
        <v>01/04/2020</v>
      </c>
      <c r="F8" s="1388"/>
      <c r="G8" s="382"/>
      <c r="H8" s="38"/>
    </row>
    <row r="9" spans="1:16" customFormat="1" ht="17" customHeight="1" thickBot="1">
      <c r="A9" s="1399" t="s">
        <v>116</v>
      </c>
      <c r="B9" s="1400"/>
      <c r="C9" s="1376" t="s">
        <v>321</v>
      </c>
      <c r="D9" s="1377"/>
      <c r="E9" s="1376" t="s">
        <v>321</v>
      </c>
      <c r="F9" s="1377"/>
      <c r="G9" s="382"/>
      <c r="H9" s="38"/>
    </row>
    <row r="10" spans="1:16" customFormat="1" ht="17" customHeight="1">
      <c r="A10" s="1391" t="s">
        <v>117</v>
      </c>
      <c r="B10" s="1392"/>
      <c r="C10" s="107">
        <v>370554</v>
      </c>
      <c r="D10" s="108">
        <v>440413</v>
      </c>
      <c r="E10" s="107">
        <f>C10+C10*'Løntabel gældende fra'!$D$7%</f>
        <v>408808.51274400001</v>
      </c>
      <c r="F10" s="108">
        <f>D10+D10*'Løntabel gældende fra'!$D$7%</f>
        <v>485879.47646799998</v>
      </c>
      <c r="G10" s="59"/>
      <c r="H10" s="38"/>
    </row>
    <row r="11" spans="1:16" customFormat="1" ht="17" customHeight="1">
      <c r="A11" s="1385" t="s">
        <v>118</v>
      </c>
      <c r="B11" s="1386"/>
      <c r="C11" s="109">
        <v>406159</v>
      </c>
      <c r="D11" s="134">
        <v>486503</v>
      </c>
      <c r="E11" s="110">
        <f>C11+C11*'Løntabel gældende fra'!$D$7%</f>
        <v>448089.23052400001</v>
      </c>
      <c r="F11" s="105">
        <f>D11+D11*'Løntabel gældende fra'!$D$7%</f>
        <v>536727.62370800006</v>
      </c>
      <c r="G11" s="59"/>
      <c r="H11" s="38"/>
    </row>
    <row r="12" spans="1:16" customFormat="1" ht="17" customHeight="1">
      <c r="A12" s="1389" t="s">
        <v>462</v>
      </c>
      <c r="B12" s="1390"/>
      <c r="C12" s="110">
        <v>441765</v>
      </c>
      <c r="D12" s="105">
        <v>531283</v>
      </c>
      <c r="E12" s="110">
        <f>C12+C12*'Løntabel gældende fra'!$D$7%</f>
        <v>487371.05154000001</v>
      </c>
      <c r="F12" s="105">
        <f>D12+D12*'Løntabel gældende fra'!$D$7%</f>
        <v>586130.53178800002</v>
      </c>
      <c r="G12" s="59"/>
      <c r="H12" s="79"/>
    </row>
    <row r="13" spans="1:16" s="63" customFormat="1" ht="26" customHeight="1" thickBot="1">
      <c r="A13" s="1369" t="s">
        <v>463</v>
      </c>
      <c r="B13" s="1370"/>
      <c r="C13" s="807">
        <v>441765</v>
      </c>
      <c r="D13" s="808">
        <v>586331</v>
      </c>
      <c r="E13" s="807">
        <f>C13+C13*'Løntabel gældende fra'!$D$7%</f>
        <v>487371.05154000001</v>
      </c>
      <c r="F13" s="808">
        <f>D13+D13*'Løntabel gældende fra'!$D$7%</f>
        <v>646861.46711600001</v>
      </c>
      <c r="G13" s="59"/>
      <c r="H13" s="27"/>
    </row>
    <row r="14" spans="1:16" ht="18" customHeight="1" thickBot="1">
      <c r="A14" s="88"/>
      <c r="B14" s="88"/>
      <c r="C14" s="88"/>
      <c r="D14" s="88"/>
      <c r="E14" s="88"/>
      <c r="F14" s="88"/>
      <c r="G14" s="88"/>
      <c r="H14" s="27"/>
    </row>
    <row r="15" spans="1:16" ht="14" customHeight="1">
      <c r="A15" s="1151" t="s">
        <v>467</v>
      </c>
      <c r="B15" s="1152"/>
      <c r="C15" s="1152"/>
      <c r="D15" s="1152"/>
      <c r="E15" s="1152"/>
      <c r="F15" s="1153"/>
      <c r="G15" s="89"/>
      <c r="H15" s="824"/>
    </row>
    <row r="16" spans="1:16" ht="14" customHeight="1">
      <c r="A16" s="1382"/>
      <c r="B16" s="1383"/>
      <c r="C16" s="1383"/>
      <c r="D16" s="1383"/>
      <c r="E16" s="1383"/>
      <c r="F16" s="1384"/>
      <c r="G16" s="89"/>
      <c r="H16" s="824" t="s">
        <v>130</v>
      </c>
      <c r="I16" s="824"/>
      <c r="N16" s="568"/>
      <c r="O16" s="568"/>
      <c r="P16" s="568"/>
    </row>
    <row r="17" spans="1:16" customFormat="1" ht="15" customHeight="1" thickBot="1">
      <c r="A17" s="1221" t="s">
        <v>314</v>
      </c>
      <c r="B17" s="1222"/>
      <c r="C17" s="1222"/>
      <c r="D17" s="1222"/>
      <c r="E17" s="1222"/>
      <c r="F17" s="1223"/>
      <c r="G17" s="89"/>
      <c r="H17" s="825"/>
      <c r="I17" s="824"/>
    </row>
    <row r="18" spans="1:16" customFormat="1" ht="15" customHeight="1">
      <c r="A18" s="1281"/>
      <c r="B18" s="1283"/>
      <c r="C18" s="1375" t="s">
        <v>132</v>
      </c>
      <c r="D18" s="1314"/>
      <c r="E18" s="1375" t="s">
        <v>352</v>
      </c>
      <c r="F18" s="1314"/>
      <c r="G18" s="77"/>
      <c r="H18" s="824"/>
      <c r="I18" s="826"/>
    </row>
    <row r="19" spans="1:16" customFormat="1" ht="24" customHeight="1" thickBot="1">
      <c r="A19" s="1395"/>
      <c r="B19" s="1396"/>
      <c r="C19" s="1387">
        <v>40999</v>
      </c>
      <c r="D19" s="1388"/>
      <c r="E19" s="1393" t="str">
        <f>'Løntabel gældende fra'!D1</f>
        <v>01/04/2020</v>
      </c>
      <c r="F19" s="1388"/>
      <c r="G19" s="382"/>
      <c r="H19" s="825">
        <v>35388</v>
      </c>
      <c r="I19" s="824"/>
    </row>
    <row r="20" spans="1:16" customFormat="1" ht="17" customHeight="1" thickBot="1">
      <c r="A20" s="810" t="s">
        <v>116</v>
      </c>
      <c r="B20" s="462" t="s">
        <v>120</v>
      </c>
      <c r="C20" s="1394" t="s">
        <v>321</v>
      </c>
      <c r="D20" s="1377"/>
      <c r="E20" s="1376" t="s">
        <v>321</v>
      </c>
      <c r="F20" s="1377"/>
      <c r="G20" s="382"/>
      <c r="H20" s="825">
        <v>35388</v>
      </c>
      <c r="I20" s="826">
        <v>26213</v>
      </c>
      <c r="J20" s="930"/>
      <c r="K20" s="930"/>
    </row>
    <row r="21" spans="1:16" customFormat="1" ht="17" customHeight="1">
      <c r="A21" s="814" t="s">
        <v>121</v>
      </c>
      <c r="B21" s="813" t="s">
        <v>122</v>
      </c>
      <c r="C21" s="135">
        <f>C10+H19</f>
        <v>405942</v>
      </c>
      <c r="D21" s="136">
        <f>D10+I20</f>
        <v>466626</v>
      </c>
      <c r="E21" s="132">
        <f>C21+C21*'Løntabel gældende fra'!$D$7%</f>
        <v>447849.82831200003</v>
      </c>
      <c r="F21" s="133">
        <f>D21+D21*'Løntabel gældende fra'!$D$7%</f>
        <v>514798.60173599998</v>
      </c>
      <c r="G21" s="59"/>
      <c r="H21" s="825">
        <v>35388</v>
      </c>
      <c r="I21" s="826">
        <v>26213</v>
      </c>
      <c r="J21" s="930"/>
      <c r="K21" s="930"/>
    </row>
    <row r="22" spans="1:16" customFormat="1" ht="17" customHeight="1">
      <c r="A22" s="449" t="s">
        <v>118</v>
      </c>
      <c r="B22" s="99" t="s">
        <v>122</v>
      </c>
      <c r="C22" s="109">
        <f>C11+H20</f>
        <v>441547</v>
      </c>
      <c r="D22" s="134">
        <f>D11+I21</f>
        <v>512716</v>
      </c>
      <c r="E22" s="106">
        <f>C22+C22*'Løntabel gældende fra'!$D$7%</f>
        <v>487130.54609199998</v>
      </c>
      <c r="F22" s="105">
        <f>D22+D22*'Løntabel gældende fra'!$D$7%</f>
        <v>565646.748976</v>
      </c>
      <c r="G22" s="59"/>
      <c r="H22" s="826">
        <v>52426</v>
      </c>
      <c r="I22" s="826">
        <v>26213</v>
      </c>
      <c r="J22" s="930"/>
      <c r="K22" s="930"/>
    </row>
    <row r="23" spans="1:16" s="63" customFormat="1" ht="17" customHeight="1">
      <c r="A23" s="811" t="s">
        <v>119</v>
      </c>
      <c r="B23" s="812" t="s">
        <v>122</v>
      </c>
      <c r="C23" s="135">
        <f>C12+H21</f>
        <v>477153</v>
      </c>
      <c r="D23" s="136">
        <f>D12+I22</f>
        <v>557496</v>
      </c>
      <c r="E23" s="137">
        <f>C23+C23*'Løntabel gældende fra'!$D$7%</f>
        <v>526412.36710799998</v>
      </c>
      <c r="F23" s="138">
        <f>D23+D23*'Løntabel gældende fra'!$D$7%</f>
        <v>615049.65705599997</v>
      </c>
      <c r="G23" s="59"/>
      <c r="H23" s="826">
        <v>52426</v>
      </c>
      <c r="I23" s="826">
        <v>43252</v>
      </c>
    </row>
    <row r="24" spans="1:16" s="63" customFormat="1" ht="17" customHeight="1">
      <c r="A24" s="815" t="s">
        <v>123</v>
      </c>
      <c r="B24" s="817" t="s">
        <v>124</v>
      </c>
      <c r="C24" s="110">
        <f>C10+H22</f>
        <v>422980</v>
      </c>
      <c r="D24" s="105">
        <f>D10+I23</f>
        <v>483665</v>
      </c>
      <c r="E24" s="106">
        <f>C24+C24*'Løntabel gældende fra'!$D$7%</f>
        <v>466646.76328000001</v>
      </c>
      <c r="F24" s="105">
        <f>D24+D24*'Løntabel gældende fra'!$D$7%</f>
        <v>533596.63994000002</v>
      </c>
      <c r="G24" s="73"/>
      <c r="H24" s="826">
        <v>52426</v>
      </c>
      <c r="I24" s="826">
        <v>43252</v>
      </c>
    </row>
    <row r="25" spans="1:16" s="63" customFormat="1" ht="17" customHeight="1">
      <c r="A25" s="815" t="s">
        <v>118</v>
      </c>
      <c r="B25" s="817" t="s">
        <v>124</v>
      </c>
      <c r="C25" s="135">
        <f>C11+H23</f>
        <v>458585</v>
      </c>
      <c r="D25" s="136">
        <f>D11+I24</f>
        <v>529755</v>
      </c>
      <c r="E25" s="139">
        <f>C25+C25*'Løntabel gældende fra'!$D$7%</f>
        <v>505927.48106000002</v>
      </c>
      <c r="F25" s="136">
        <f>D25+D25*'Løntabel gældende fra'!$D$7%</f>
        <v>584444.78717999998</v>
      </c>
      <c r="G25" s="73"/>
      <c r="H25" s="827">
        <v>70776</v>
      </c>
      <c r="I25" s="826">
        <v>43252</v>
      </c>
    </row>
    <row r="26" spans="1:16" s="63" customFormat="1" ht="17" customHeight="1">
      <c r="A26" s="815" t="s">
        <v>119</v>
      </c>
      <c r="B26" s="817" t="s">
        <v>124</v>
      </c>
      <c r="C26" s="110">
        <f>C12+H24</f>
        <v>494191</v>
      </c>
      <c r="D26" s="105">
        <f>D12+I25</f>
        <v>574535</v>
      </c>
      <c r="E26" s="106">
        <f>C26+C26*'Løntabel gældende fra'!$D$7%</f>
        <v>545209.30207600002</v>
      </c>
      <c r="F26" s="105">
        <f>D26+D26*'Løntabel gældende fra'!$D$7%</f>
        <v>633847.69525999995</v>
      </c>
      <c r="G26" s="73"/>
      <c r="H26" s="827">
        <v>70776</v>
      </c>
      <c r="I26" s="827">
        <v>61601</v>
      </c>
    </row>
    <row r="27" spans="1:16" s="63" customFormat="1" ht="17" customHeight="1">
      <c r="A27" s="815" t="s">
        <v>123</v>
      </c>
      <c r="B27" s="817" t="s">
        <v>125</v>
      </c>
      <c r="C27" s="110">
        <f>C10+H25</f>
        <v>441330</v>
      </c>
      <c r="D27" s="105">
        <f>D10+I26</f>
        <v>502014</v>
      </c>
      <c r="E27" s="132">
        <f>C27+C27*'Løntabel gældende fra'!$D$7%</f>
        <v>486891.14387999999</v>
      </c>
      <c r="F27" s="133">
        <f>D27+D27*'Løntabel gældende fra'!$D$7%</f>
        <v>553839.917304</v>
      </c>
      <c r="G27" s="73"/>
      <c r="H27" s="827">
        <v>70776</v>
      </c>
      <c r="I27" s="827">
        <v>61601</v>
      </c>
    </row>
    <row r="28" spans="1:16" s="63" customFormat="1" ht="17" customHeight="1">
      <c r="A28" s="815" t="s">
        <v>118</v>
      </c>
      <c r="B28" s="817" t="s">
        <v>125</v>
      </c>
      <c r="C28" s="110">
        <f>C11+H26</f>
        <v>476935</v>
      </c>
      <c r="D28" s="105">
        <f>D11+I27</f>
        <v>548104</v>
      </c>
      <c r="E28" s="106">
        <f>C28+C28*'Løntabel gældende fra'!$D$7%</f>
        <v>526171.86166000005</v>
      </c>
      <c r="F28" s="105">
        <f>D28+D28*'Løntabel gældende fra'!$D$7%</f>
        <v>604688.06454399996</v>
      </c>
      <c r="G28" s="73"/>
      <c r="H28" s="827"/>
      <c r="I28" s="827">
        <v>61601</v>
      </c>
    </row>
    <row r="29" spans="1:16" s="63" customFormat="1" ht="27" customHeight="1" thickBot="1">
      <c r="A29" s="816" t="s">
        <v>119</v>
      </c>
      <c r="B29" s="818" t="s">
        <v>125</v>
      </c>
      <c r="C29" s="111">
        <f>C12+H27</f>
        <v>512541</v>
      </c>
      <c r="D29" s="113">
        <f>D12+I28</f>
        <v>592884</v>
      </c>
      <c r="E29" s="112">
        <f>C29+C29*'Løntabel gældende fra'!$D$7%</f>
        <v>565453.68267600005</v>
      </c>
      <c r="F29" s="113">
        <f>D29+D29*'Løntabel gældende fra'!$D$7%</f>
        <v>654090.97262400005</v>
      </c>
      <c r="G29" s="73"/>
      <c r="H29" s="2"/>
      <c r="I29" s="827"/>
    </row>
    <row r="30" spans="1:16" ht="24" customHeight="1" thickBot="1">
      <c r="A30" s="73"/>
      <c r="B30" s="73"/>
      <c r="C30" s="73"/>
      <c r="D30" s="73"/>
      <c r="E30" s="73"/>
      <c r="F30" s="73"/>
      <c r="G30" s="73"/>
      <c r="N30" s="1381"/>
      <c r="O30" s="1381"/>
      <c r="P30" s="1381"/>
    </row>
    <row r="31" spans="1:16" ht="11" customHeight="1">
      <c r="A31" s="1318" t="s">
        <v>490</v>
      </c>
      <c r="B31" s="1319"/>
      <c r="C31" s="1319"/>
      <c r="D31" s="1319"/>
      <c r="E31" s="1319"/>
      <c r="F31" s="1320"/>
      <c r="G31" s="89"/>
      <c r="N31" s="1373"/>
      <c r="O31" s="1373"/>
      <c r="P31" s="1373"/>
    </row>
    <row r="32" spans="1:16" ht="14" customHeight="1">
      <c r="A32" s="1378"/>
      <c r="B32" s="1379"/>
      <c r="C32" s="1379"/>
      <c r="D32" s="1379"/>
      <c r="E32" s="1379"/>
      <c r="F32" s="1380"/>
      <c r="G32" s="89"/>
      <c r="H32" s="38"/>
      <c r="N32" s="568"/>
      <c r="O32" s="568"/>
      <c r="P32" s="568"/>
    </row>
    <row r="33" spans="1:11" customFormat="1" ht="15" customHeight="1" thickBot="1">
      <c r="A33" s="1221" t="s">
        <v>314</v>
      </c>
      <c r="B33" s="1222"/>
      <c r="C33" s="1222"/>
      <c r="D33" s="1222"/>
      <c r="E33" s="1222"/>
      <c r="F33" s="1223"/>
      <c r="G33" s="89"/>
      <c r="H33" s="38"/>
    </row>
    <row r="34" spans="1:11" customFormat="1" ht="15" customHeight="1">
      <c r="A34" s="1281"/>
      <c r="B34" s="1283"/>
      <c r="C34" s="1375" t="s">
        <v>132</v>
      </c>
      <c r="D34" s="1314"/>
      <c r="E34" s="1375" t="s">
        <v>352</v>
      </c>
      <c r="F34" s="1314"/>
      <c r="G34" s="77"/>
      <c r="H34" s="38"/>
    </row>
    <row r="35" spans="1:11" customFormat="1" ht="24" customHeight="1" thickBot="1">
      <c r="A35" s="1284"/>
      <c r="B35" s="1286"/>
      <c r="C35" s="1387">
        <v>40999</v>
      </c>
      <c r="D35" s="1388"/>
      <c r="E35" s="1393" t="str">
        <f>'Løntabel gældende fra'!D1</f>
        <v>01/04/2020</v>
      </c>
      <c r="F35" s="1388"/>
      <c r="G35" s="382"/>
      <c r="H35" s="38"/>
    </row>
    <row r="36" spans="1:11" customFormat="1" ht="24" customHeight="1" thickBot="1">
      <c r="A36" s="1371" t="s">
        <v>116</v>
      </c>
      <c r="B36" s="1372"/>
      <c r="C36" s="1367" t="s">
        <v>263</v>
      </c>
      <c r="D36" s="1368"/>
      <c r="E36" s="1376" t="s">
        <v>263</v>
      </c>
      <c r="F36" s="1377"/>
      <c r="G36" s="382"/>
      <c r="H36" s="38"/>
    </row>
    <row r="37" spans="1:11" customFormat="1" ht="22" customHeight="1">
      <c r="A37" s="1334" t="s">
        <v>465</v>
      </c>
      <c r="B37" s="1335"/>
      <c r="C37" s="1338">
        <v>353412</v>
      </c>
      <c r="D37" s="1339"/>
      <c r="E37" s="1338">
        <f>C37+C37*'Løntabel gældende fra'!$D$7%</f>
        <v>389896.84123200004</v>
      </c>
      <c r="F37" s="1339"/>
      <c r="G37" s="59"/>
      <c r="H37" s="73"/>
    </row>
    <row r="38" spans="1:11" s="63" customFormat="1" ht="23" customHeight="1" thickBot="1">
      <c r="A38" s="1336" t="s">
        <v>119</v>
      </c>
      <c r="B38" s="1337"/>
      <c r="C38" s="1340">
        <v>396929</v>
      </c>
      <c r="D38" s="1341"/>
      <c r="E38" s="1351">
        <f>C38+C38*'Løntabel gældende fra'!$D$7%</f>
        <v>437906.36224400002</v>
      </c>
      <c r="F38" s="1352"/>
      <c r="G38" s="59"/>
      <c r="H38" s="73"/>
      <c r="I38" s="73"/>
      <c r="J38" s="73"/>
      <c r="K38" s="73"/>
    </row>
    <row r="39" spans="1:11" s="63" customFormat="1" ht="7" customHeight="1">
      <c r="A39" s="1366"/>
      <c r="B39" s="1366"/>
      <c r="C39" s="1366"/>
      <c r="D39" s="1366"/>
      <c r="E39" s="1366"/>
      <c r="F39" s="128"/>
      <c r="G39" s="73"/>
      <c r="H39" s="73"/>
      <c r="I39" s="73"/>
      <c r="J39" s="73"/>
      <c r="K39" s="73"/>
    </row>
    <row r="40" spans="1:11" s="63" customFormat="1" ht="54" customHeight="1" thickBot="1">
      <c r="A40" s="682"/>
      <c r="B40" s="683"/>
      <c r="C40" s="682"/>
      <c r="D40" s="684"/>
      <c r="E40" s="684"/>
      <c r="F40" s="684"/>
      <c r="G40" s="73"/>
      <c r="H40" s="73"/>
      <c r="I40" s="73"/>
      <c r="J40" s="73"/>
      <c r="K40" s="73"/>
    </row>
    <row r="41" spans="1:11" s="63" customFormat="1" ht="21" thickBot="1">
      <c r="A41" s="1342" t="s">
        <v>165</v>
      </c>
      <c r="B41" s="1343"/>
      <c r="C41" s="1343"/>
      <c r="D41" s="1343"/>
      <c r="E41" s="1343"/>
      <c r="F41" s="1343"/>
      <c r="G41" s="1344"/>
      <c r="H41" s="73"/>
      <c r="I41" s="73"/>
      <c r="J41" s="73"/>
      <c r="K41" s="73"/>
    </row>
    <row r="42" spans="1:11" s="63" customFormat="1" ht="50" customHeight="1">
      <c r="A42" s="1172" t="s">
        <v>491</v>
      </c>
      <c r="B42" s="1345" t="s">
        <v>508</v>
      </c>
      <c r="C42" s="1346"/>
      <c r="D42" s="1347"/>
      <c r="E42" s="673" t="s">
        <v>132</v>
      </c>
      <c r="F42" s="674" t="s">
        <v>352</v>
      </c>
      <c r="G42" s="580"/>
      <c r="H42" s="73"/>
      <c r="I42" s="73"/>
      <c r="J42" s="73"/>
      <c r="K42" s="73"/>
    </row>
    <row r="43" spans="1:11" s="63" customFormat="1" ht="21" thickBot="1">
      <c r="A43" s="1168"/>
      <c r="B43" s="1348"/>
      <c r="C43" s="1349"/>
      <c r="D43" s="1350"/>
      <c r="E43" s="819">
        <v>40999</v>
      </c>
      <c r="F43" s="820" t="str">
        <f>'Løntabel gældende fra'!$D$1</f>
        <v>01/04/2020</v>
      </c>
      <c r="G43" s="581"/>
      <c r="H43" s="73"/>
      <c r="I43" s="73"/>
      <c r="J43" s="73"/>
      <c r="K43" s="73"/>
    </row>
    <row r="44" spans="1:11" s="63" customFormat="1" ht="34" customHeight="1" thickBot="1">
      <c r="A44" s="1145"/>
      <c r="B44" s="1331" t="s">
        <v>507</v>
      </c>
      <c r="C44" s="1332"/>
      <c r="D44" s="1333"/>
      <c r="E44" s="583">
        <v>130000</v>
      </c>
      <c r="F44" s="584">
        <f>E44+E44*'Løntabel gældende fra'!$D$7%</f>
        <v>143420.68</v>
      </c>
      <c r="G44" s="582"/>
      <c r="H44" s="73"/>
      <c r="I44" s="73"/>
      <c r="J44" s="73"/>
      <c r="K44" s="73"/>
    </row>
    <row r="45" spans="1:11" s="63" customFormat="1" ht="21" thickBot="1">
      <c r="A45" s="218" t="s">
        <v>492</v>
      </c>
      <c r="B45" s="1328" t="s">
        <v>466</v>
      </c>
      <c r="C45" s="1329"/>
      <c r="D45" s="1329"/>
      <c r="E45" s="1329"/>
      <c r="F45" s="1329"/>
      <c r="G45" s="1330"/>
      <c r="H45" s="86"/>
      <c r="I45" s="73"/>
      <c r="J45" s="73"/>
      <c r="K45" s="73"/>
    </row>
    <row r="46" spans="1:11" ht="42" customHeight="1" thickBot="1">
      <c r="A46" s="63"/>
      <c r="B46" s="82"/>
      <c r="C46" s="63"/>
      <c r="D46" s="127"/>
      <c r="E46" s="127"/>
      <c r="F46" s="127"/>
      <c r="G46" s="73"/>
      <c r="H46" s="87"/>
    </row>
    <row r="47" spans="1:11" ht="26" customHeight="1">
      <c r="A47" s="1318" t="s">
        <v>133</v>
      </c>
      <c r="B47" s="1319"/>
      <c r="C47" s="1319"/>
      <c r="D47" s="1319"/>
      <c r="E47" s="1319"/>
      <c r="F47" s="1319"/>
      <c r="G47" s="1320"/>
      <c r="H47" s="87"/>
    </row>
    <row r="48" spans="1:11" s="79" customFormat="1" ht="32" customHeight="1" thickBot="1">
      <c r="A48" s="1321" t="str">
        <f>'Løntabel gældende fra'!$D$1</f>
        <v>01/04/2020</v>
      </c>
      <c r="B48" s="1322"/>
      <c r="C48" s="1322"/>
      <c r="D48" s="1322"/>
      <c r="E48" s="1322"/>
      <c r="F48" s="1322"/>
      <c r="G48" s="1323"/>
      <c r="H48" s="87"/>
    </row>
    <row r="49" spans="1:8" s="79" customFormat="1" ht="12" customHeight="1">
      <c r="A49" s="1324" t="s">
        <v>126</v>
      </c>
      <c r="B49" s="1324"/>
      <c r="C49" s="1324"/>
      <c r="D49" s="1324"/>
      <c r="E49" s="1324"/>
      <c r="F49" s="1324"/>
      <c r="G49" s="1324"/>
      <c r="H49" s="87"/>
    </row>
    <row r="50" spans="1:8" s="79" customFormat="1" ht="14" customHeight="1">
      <c r="A50" s="91"/>
      <c r="B50" s="91"/>
      <c r="C50" s="91"/>
      <c r="D50" s="91"/>
      <c r="E50" s="91"/>
      <c r="F50" s="91"/>
      <c r="G50" s="91"/>
      <c r="H50" s="87"/>
    </row>
    <row r="51" spans="1:8" s="79" customFormat="1" ht="14" customHeight="1">
      <c r="A51" s="1326" t="s">
        <v>127</v>
      </c>
      <c r="B51" s="1325" t="s">
        <v>524</v>
      </c>
      <c r="C51" s="1325"/>
      <c r="D51" s="1325"/>
      <c r="E51" s="1325"/>
      <c r="F51" s="1325"/>
      <c r="G51" s="1325"/>
      <c r="H51" s="87"/>
    </row>
    <row r="52" spans="1:8" s="79" customFormat="1" ht="14" customHeight="1">
      <c r="A52" s="1326"/>
      <c r="B52" s="90" t="s">
        <v>522</v>
      </c>
      <c r="C52" s="821"/>
      <c r="D52" s="821"/>
      <c r="E52" s="821"/>
      <c r="F52" s="821"/>
      <c r="G52" s="821"/>
      <c r="H52" s="87"/>
    </row>
    <row r="53" spans="1:8" s="79" customFormat="1" ht="14" customHeight="1">
      <c r="A53" s="1326"/>
      <c r="B53" s="1325" t="s">
        <v>523</v>
      </c>
      <c r="C53" s="1325"/>
      <c r="D53" s="1325"/>
      <c r="E53" s="1325"/>
      <c r="F53" s="1325"/>
      <c r="G53" s="1325"/>
      <c r="H53" s="87"/>
    </row>
    <row r="54" spans="1:8" s="79" customFormat="1" ht="14" customHeight="1">
      <c r="A54" s="92"/>
      <c r="B54" s="1325"/>
      <c r="C54" s="1325"/>
      <c r="D54" s="1325"/>
      <c r="E54" s="1325"/>
      <c r="F54" s="1325"/>
      <c r="G54" s="1325"/>
      <c r="H54" s="87"/>
    </row>
    <row r="55" spans="1:8" s="79" customFormat="1" ht="14" customHeight="1">
      <c r="A55" s="562"/>
      <c r="B55" s="561"/>
      <c r="C55" s="561"/>
      <c r="D55" s="561"/>
      <c r="E55" s="561"/>
      <c r="F55" s="561"/>
      <c r="G55" s="561"/>
      <c r="H55" s="87"/>
    </row>
    <row r="56" spans="1:8" s="79" customFormat="1" ht="14" customHeight="1">
      <c r="A56" s="1326" t="s">
        <v>128</v>
      </c>
      <c r="B56" s="1325" t="s">
        <v>525</v>
      </c>
      <c r="C56" s="1325"/>
      <c r="D56" s="1325"/>
      <c r="E56" s="1325"/>
      <c r="F56" s="1325"/>
      <c r="G56" s="1325"/>
      <c r="H56" s="87"/>
    </row>
    <row r="57" spans="1:8" s="79" customFormat="1" ht="14" customHeight="1">
      <c r="A57" s="1326"/>
      <c r="B57" s="90" t="s">
        <v>526</v>
      </c>
      <c r="C57" s="821"/>
      <c r="D57" s="821"/>
      <c r="E57" s="821"/>
      <c r="F57" s="821"/>
      <c r="G57" s="821"/>
      <c r="H57" s="87"/>
    </row>
    <row r="58" spans="1:8" s="79" customFormat="1" ht="14" customHeight="1">
      <c r="A58" s="1326"/>
      <c r="B58" s="1325" t="s">
        <v>527</v>
      </c>
      <c r="C58" s="1325"/>
      <c r="D58" s="1325"/>
      <c r="E58" s="1325"/>
      <c r="F58" s="1325"/>
      <c r="G58" s="1325"/>
      <c r="H58" s="87"/>
    </row>
    <row r="59" spans="1:8" s="79" customFormat="1" ht="12" customHeight="1">
      <c r="A59" s="562"/>
      <c r="B59" s="1325"/>
      <c r="C59" s="1325"/>
      <c r="D59" s="1325"/>
      <c r="E59" s="1325"/>
      <c r="F59" s="1325"/>
      <c r="G59" s="1325"/>
      <c r="H59" s="2"/>
    </row>
    <row r="60" spans="1:8" ht="18" customHeight="1" thickBot="1">
      <c r="A60" s="73"/>
      <c r="B60" s="73"/>
      <c r="C60" s="73"/>
      <c r="D60" s="73"/>
      <c r="E60" s="73"/>
      <c r="F60" s="73"/>
      <c r="G60" s="73"/>
    </row>
    <row r="61" spans="1:8" ht="18" customHeight="1">
      <c r="A61" s="1172" t="s">
        <v>57</v>
      </c>
      <c r="B61" s="1164" t="s">
        <v>23</v>
      </c>
      <c r="C61" s="1233"/>
      <c r="D61" s="1164" t="s">
        <v>24</v>
      </c>
      <c r="E61" s="1233"/>
      <c r="F61" s="663" t="s">
        <v>355</v>
      </c>
      <c r="G61" s="1172" t="s">
        <v>96</v>
      </c>
    </row>
    <row r="62" spans="1:8" ht="19" customHeight="1" thickBot="1">
      <c r="A62" s="1168"/>
      <c r="B62" s="666">
        <v>40999</v>
      </c>
      <c r="C62" s="667"/>
      <c r="D62" s="1138" t="str">
        <f>'Løntabel gældende fra'!$D$1</f>
        <v>01/04/2020</v>
      </c>
      <c r="E62" s="1327"/>
      <c r="F62" s="664" t="str">
        <f>'Løntabel gældende fra'!$D$1</f>
        <v>01/04/2020</v>
      </c>
      <c r="G62" s="1168"/>
      <c r="H62" s="51"/>
    </row>
    <row r="63" spans="1:8" ht="14" customHeight="1" thickBot="1">
      <c r="A63" s="1168"/>
      <c r="B63" s="668" t="s">
        <v>87</v>
      </c>
      <c r="C63" s="665" t="s">
        <v>163</v>
      </c>
      <c r="D63" s="346" t="s">
        <v>87</v>
      </c>
      <c r="E63" s="439" t="s">
        <v>163</v>
      </c>
      <c r="F63" s="439" t="s">
        <v>163</v>
      </c>
      <c r="G63" s="351">
        <v>0.15</v>
      </c>
    </row>
    <row r="64" spans="1:8">
      <c r="A64" s="384">
        <v>31</v>
      </c>
      <c r="B64" s="453">
        <f>+'Statens skalatrin'!N96</f>
        <v>290512.64000000001</v>
      </c>
      <c r="C64" s="453">
        <f>ROUND(B64/12,2)</f>
        <v>24209.39</v>
      </c>
      <c r="D64" s="454">
        <f>ROUND(B64*(1+'Løntabel gældende fra'!$D$7/100),0)</f>
        <v>320504</v>
      </c>
      <c r="E64" s="991">
        <f>ROUND(D64/12,2)</f>
        <v>26708.67</v>
      </c>
      <c r="F64" s="992">
        <f>ROUND(E64*15%,2)</f>
        <v>4006.3</v>
      </c>
      <c r="G64" s="455">
        <f>F64*$G$63</f>
        <v>600.94500000000005</v>
      </c>
    </row>
    <row r="65" spans="1:8">
      <c r="A65" s="449">
        <v>32</v>
      </c>
      <c r="B65" s="193">
        <f>+'Statens skalatrin'!N99</f>
        <v>296125.21000000002</v>
      </c>
      <c r="C65" s="671">
        <f t="shared" ref="C65:C83" si="0">ROUND(B65/12,2)</f>
        <v>24677.1</v>
      </c>
      <c r="D65" s="669">
        <f>ROUND(B65*(1+'Løntabel gældende fra'!$D$7/100),0)</f>
        <v>326696</v>
      </c>
      <c r="E65" s="993">
        <f t="shared" ref="E65:E83" si="1">ROUND(D65/12,2)</f>
        <v>27224.67</v>
      </c>
      <c r="F65" s="983">
        <f t="shared" ref="F65:F83" si="2">ROUND(E65*15%,2)</f>
        <v>4083.7</v>
      </c>
      <c r="G65" s="192">
        <f t="shared" ref="G65:G83" si="3">F65*$G$63</f>
        <v>612.55499999999995</v>
      </c>
    </row>
    <row r="66" spans="1:8">
      <c r="A66" s="449">
        <v>33</v>
      </c>
      <c r="B66" s="193">
        <f>+'Statens skalatrin'!N102</f>
        <v>301881.8</v>
      </c>
      <c r="C66" s="671">
        <f t="shared" si="0"/>
        <v>25156.82</v>
      </c>
      <c r="D66" s="669">
        <f>ROUND(B66*(1+'Løntabel gældende fra'!$D$7/100),0)</f>
        <v>333047</v>
      </c>
      <c r="E66" s="993">
        <f t="shared" si="1"/>
        <v>27753.919999999998</v>
      </c>
      <c r="F66" s="983">
        <f t="shared" si="2"/>
        <v>4163.09</v>
      </c>
      <c r="G66" s="192">
        <f t="shared" si="3"/>
        <v>624.46349999999995</v>
      </c>
    </row>
    <row r="67" spans="1:8">
      <c r="A67" s="449">
        <v>34</v>
      </c>
      <c r="B67" s="193">
        <f>+'Statens skalatrin'!N105</f>
        <v>307790.62</v>
      </c>
      <c r="C67" s="671">
        <f t="shared" si="0"/>
        <v>25649.22</v>
      </c>
      <c r="D67" s="669">
        <f>ROUND(B67*(1+'Løntabel gældende fra'!$D$7/100),0)</f>
        <v>339566</v>
      </c>
      <c r="E67" s="993">
        <f t="shared" si="1"/>
        <v>28297.17</v>
      </c>
      <c r="F67" s="983">
        <f t="shared" si="2"/>
        <v>4244.58</v>
      </c>
      <c r="G67" s="192">
        <f t="shared" si="3"/>
        <v>636.68700000000001</v>
      </c>
    </row>
    <row r="68" spans="1:8">
      <c r="A68" s="449">
        <v>35</v>
      </c>
      <c r="B68" s="193">
        <f>+'Statens skalatrin'!N108</f>
        <v>313854.56</v>
      </c>
      <c r="C68" s="671">
        <f t="shared" si="0"/>
        <v>26154.55</v>
      </c>
      <c r="D68" s="669">
        <f>ROUND(B68*(1+'Løntabel gældende fra'!$D$7/100),0)</f>
        <v>346256</v>
      </c>
      <c r="E68" s="993">
        <f t="shared" si="1"/>
        <v>28854.67</v>
      </c>
      <c r="F68" s="983">
        <f t="shared" si="2"/>
        <v>4328.2</v>
      </c>
      <c r="G68" s="192">
        <f t="shared" si="3"/>
        <v>649.2299999999999</v>
      </c>
    </row>
    <row r="69" spans="1:8">
      <c r="A69" s="449">
        <v>36</v>
      </c>
      <c r="B69" s="193">
        <f>+'Statens skalatrin'!N111</f>
        <v>320074.68</v>
      </c>
      <c r="C69" s="671">
        <f t="shared" si="0"/>
        <v>26672.89</v>
      </c>
      <c r="D69" s="669">
        <f>ROUND(B69*(1+'Løntabel gældende fra'!$D$7/100),0)</f>
        <v>353118</v>
      </c>
      <c r="E69" s="993">
        <f t="shared" si="1"/>
        <v>29426.5</v>
      </c>
      <c r="F69" s="983">
        <f t="shared" si="2"/>
        <v>4413.9799999999996</v>
      </c>
      <c r="G69" s="192">
        <f t="shared" si="3"/>
        <v>662.09699999999987</v>
      </c>
    </row>
    <row r="70" spans="1:8">
      <c r="A70" s="449">
        <v>37</v>
      </c>
      <c r="B70" s="193">
        <f>+'Statens skalatrin'!N114</f>
        <v>326457.34000000003</v>
      </c>
      <c r="C70" s="671">
        <f t="shared" si="0"/>
        <v>27204.78</v>
      </c>
      <c r="D70" s="669">
        <f>ROUND(B70*(1+'Løntabel gældende fra'!$D$7/100),0)</f>
        <v>360159</v>
      </c>
      <c r="E70" s="993">
        <f t="shared" si="1"/>
        <v>30013.25</v>
      </c>
      <c r="F70" s="983">
        <f t="shared" si="2"/>
        <v>4501.99</v>
      </c>
      <c r="G70" s="192">
        <f t="shared" si="3"/>
        <v>675.29849999999999</v>
      </c>
    </row>
    <row r="71" spans="1:8">
      <c r="A71" s="449">
        <v>38</v>
      </c>
      <c r="B71" s="193">
        <f>+'Statens skalatrin'!N117</f>
        <v>333128.88</v>
      </c>
      <c r="C71" s="671">
        <f t="shared" si="0"/>
        <v>27760.74</v>
      </c>
      <c r="D71" s="669">
        <f>ROUND(B71*(1+'Løntabel gældende fra'!$D$7/100),0)</f>
        <v>367520</v>
      </c>
      <c r="E71" s="993">
        <f t="shared" si="1"/>
        <v>30626.67</v>
      </c>
      <c r="F71" s="983">
        <f t="shared" si="2"/>
        <v>4594</v>
      </c>
      <c r="G71" s="192">
        <f t="shared" si="3"/>
        <v>689.1</v>
      </c>
    </row>
    <row r="72" spans="1:8">
      <c r="A72" s="449">
        <v>39</v>
      </c>
      <c r="B72" s="193">
        <f>+'Statens skalatrin'!N120</f>
        <v>339989.41</v>
      </c>
      <c r="C72" s="671">
        <f t="shared" si="0"/>
        <v>28332.45</v>
      </c>
      <c r="D72" s="669">
        <f>ROUND(B72*(1+'Løntabel gældende fra'!$D$7/100),0)</f>
        <v>375089</v>
      </c>
      <c r="E72" s="993">
        <f t="shared" si="1"/>
        <v>31257.42</v>
      </c>
      <c r="F72" s="983">
        <f t="shared" si="2"/>
        <v>4688.6099999999997</v>
      </c>
      <c r="G72" s="192">
        <f t="shared" si="3"/>
        <v>703.29149999999993</v>
      </c>
    </row>
    <row r="73" spans="1:8">
      <c r="A73" s="449">
        <v>40</v>
      </c>
      <c r="B73" s="193">
        <f>+'Statens skalatrin'!N123</f>
        <v>347027.46</v>
      </c>
      <c r="C73" s="671">
        <f t="shared" si="0"/>
        <v>28918.959999999999</v>
      </c>
      <c r="D73" s="669">
        <f>ROUND(B73*(1+'Løntabel gældende fra'!$D$7/100),0)</f>
        <v>382853</v>
      </c>
      <c r="E73" s="993">
        <f t="shared" si="1"/>
        <v>31904.42</v>
      </c>
      <c r="F73" s="983">
        <f t="shared" si="2"/>
        <v>4785.66</v>
      </c>
      <c r="G73" s="192">
        <f t="shared" si="3"/>
        <v>717.84899999999993</v>
      </c>
    </row>
    <row r="74" spans="1:8">
      <c r="A74" s="449">
        <v>41</v>
      </c>
      <c r="B74" s="193">
        <f>+'Statens skalatrin'!N126</f>
        <v>354249.23</v>
      </c>
      <c r="C74" s="671">
        <f t="shared" si="0"/>
        <v>29520.77</v>
      </c>
      <c r="D74" s="669">
        <f>ROUND(B74*(1+'Løntabel gældende fra'!$D$7/100),0)</f>
        <v>390821</v>
      </c>
      <c r="E74" s="993">
        <f t="shared" si="1"/>
        <v>32568.42</v>
      </c>
      <c r="F74" s="983">
        <f t="shared" si="2"/>
        <v>4885.26</v>
      </c>
      <c r="G74" s="192">
        <f t="shared" si="3"/>
        <v>732.78899999999999</v>
      </c>
    </row>
    <row r="75" spans="1:8">
      <c r="A75" s="449">
        <v>42</v>
      </c>
      <c r="B75" s="193">
        <f>+'Statens skalatrin'!N129</f>
        <v>361659.2</v>
      </c>
      <c r="C75" s="671">
        <f t="shared" si="0"/>
        <v>30138.27</v>
      </c>
      <c r="D75" s="669">
        <f>ROUND(B75*(1+'Løntabel gældende fra'!$D$7/100),0)</f>
        <v>398995</v>
      </c>
      <c r="E75" s="993">
        <f t="shared" si="1"/>
        <v>33249.58</v>
      </c>
      <c r="F75" s="983">
        <f t="shared" si="2"/>
        <v>4987.4399999999996</v>
      </c>
      <c r="G75" s="192">
        <f t="shared" si="3"/>
        <v>748.11599999999987</v>
      </c>
    </row>
    <row r="76" spans="1:8">
      <c r="A76" s="449">
        <v>43</v>
      </c>
      <c r="B76" s="193">
        <f>+'Statens skalatrin'!N132</f>
        <v>369688.53</v>
      </c>
      <c r="C76" s="671">
        <f t="shared" si="0"/>
        <v>30807.38</v>
      </c>
      <c r="D76" s="669">
        <f>ROUND(B76*(1+'Løntabel gældende fra'!$D$7/100),0)</f>
        <v>407854</v>
      </c>
      <c r="E76" s="993">
        <f t="shared" si="1"/>
        <v>33987.83</v>
      </c>
      <c r="F76" s="983">
        <f t="shared" si="2"/>
        <v>5098.17</v>
      </c>
      <c r="G76" s="192">
        <f t="shared" si="3"/>
        <v>764.72550000000001</v>
      </c>
    </row>
    <row r="77" spans="1:8">
      <c r="A77" s="449">
        <v>44</v>
      </c>
      <c r="B77" s="193">
        <f>+'Statens skalatrin'!N135</f>
        <v>377937.3</v>
      </c>
      <c r="C77" s="671">
        <f t="shared" si="0"/>
        <v>31494.78</v>
      </c>
      <c r="D77" s="669">
        <f>ROUND(B77*(1+'Løntabel gældende fra'!$D$7/100),0)</f>
        <v>416954</v>
      </c>
      <c r="E77" s="993">
        <f t="shared" si="1"/>
        <v>34746.17</v>
      </c>
      <c r="F77" s="983">
        <f t="shared" si="2"/>
        <v>5211.93</v>
      </c>
      <c r="G77" s="192">
        <f t="shared" si="3"/>
        <v>781.78949999999998</v>
      </c>
      <c r="H77" s="79"/>
    </row>
    <row r="78" spans="1:8" s="79" customFormat="1">
      <c r="A78" s="449">
        <v>45</v>
      </c>
      <c r="B78" s="193">
        <f>+'Statens skalatrin'!N138</f>
        <v>386414.29</v>
      </c>
      <c r="C78" s="671">
        <f t="shared" si="0"/>
        <v>32201.19</v>
      </c>
      <c r="D78" s="669">
        <f>ROUND(B78*(1+'Løntabel gældende fra'!$D$7/100),0)</f>
        <v>426306</v>
      </c>
      <c r="E78" s="993">
        <f t="shared" si="1"/>
        <v>35525.5</v>
      </c>
      <c r="F78" s="983">
        <f t="shared" si="2"/>
        <v>5328.83</v>
      </c>
      <c r="G78" s="192">
        <f t="shared" si="3"/>
        <v>799.32449999999994</v>
      </c>
    </row>
    <row r="79" spans="1:8" s="79" customFormat="1">
      <c r="A79" s="449">
        <v>46</v>
      </c>
      <c r="B79" s="193">
        <f>+'Statens skalatrin'!N141</f>
        <v>395124.74</v>
      </c>
      <c r="C79" s="671">
        <f t="shared" si="0"/>
        <v>32927.06</v>
      </c>
      <c r="D79" s="669">
        <f>ROUND(B79*(1+'Løntabel gældende fra'!$D$7/100),0)</f>
        <v>435916</v>
      </c>
      <c r="E79" s="993">
        <f t="shared" si="1"/>
        <v>36326.33</v>
      </c>
      <c r="F79" s="983">
        <f t="shared" si="2"/>
        <v>5448.95</v>
      </c>
      <c r="G79" s="192">
        <f t="shared" si="3"/>
        <v>817.34249999999997</v>
      </c>
    </row>
    <row r="80" spans="1:8" s="79" customFormat="1">
      <c r="A80" s="449">
        <v>47</v>
      </c>
      <c r="B80" s="193">
        <f>+'Statens skalatrin'!N144</f>
        <v>413268.87</v>
      </c>
      <c r="C80" s="671">
        <f t="shared" si="0"/>
        <v>34439.07</v>
      </c>
      <c r="D80" s="669">
        <f>ROUND(B80*(1+'Løntabel gældende fra'!$D$7/100),0)</f>
        <v>455933</v>
      </c>
      <c r="E80" s="993">
        <f t="shared" si="1"/>
        <v>37994.42</v>
      </c>
      <c r="F80" s="983">
        <f t="shared" si="2"/>
        <v>5699.16</v>
      </c>
      <c r="G80" s="192">
        <f t="shared" si="3"/>
        <v>854.87399999999991</v>
      </c>
      <c r="H80" s="27"/>
    </row>
    <row r="81" spans="1:8" s="27" customFormat="1">
      <c r="A81" s="449">
        <v>48</v>
      </c>
      <c r="B81" s="193">
        <f>+'Statens skalatrin'!N147</f>
        <v>441025.75</v>
      </c>
      <c r="C81" s="671">
        <f t="shared" si="0"/>
        <v>36752.15</v>
      </c>
      <c r="D81" s="669">
        <f>ROUND(B81*(1+'Løntabel gældende fra'!$D$7/100),0)</f>
        <v>486555</v>
      </c>
      <c r="E81" s="993">
        <f t="shared" si="1"/>
        <v>40546.25</v>
      </c>
      <c r="F81" s="983">
        <f t="shared" si="2"/>
        <v>6081.94</v>
      </c>
      <c r="G81" s="192">
        <f t="shared" si="3"/>
        <v>912.29099999999994</v>
      </c>
    </row>
    <row r="82" spans="1:8" s="27" customFormat="1" ht="15" customHeight="1">
      <c r="A82" s="449">
        <v>49</v>
      </c>
      <c r="B82" s="193">
        <f>+'Statens skalatrin'!N150</f>
        <v>471780.9</v>
      </c>
      <c r="C82" s="671">
        <f t="shared" si="0"/>
        <v>39315.08</v>
      </c>
      <c r="D82" s="669">
        <f>ROUND(B82*(1+'Løntabel gældende fra'!$D$7/100),0)</f>
        <v>520486</v>
      </c>
      <c r="E82" s="993">
        <f t="shared" si="1"/>
        <v>43373.83</v>
      </c>
      <c r="F82" s="983">
        <f t="shared" si="2"/>
        <v>6506.07</v>
      </c>
      <c r="G82" s="192">
        <f t="shared" si="3"/>
        <v>975.91049999999996</v>
      </c>
      <c r="H82" s="2"/>
    </row>
    <row r="83" spans="1:8" ht="93" customHeight="1" thickBot="1">
      <c r="A83" s="386">
        <v>50</v>
      </c>
      <c r="B83" s="172">
        <f>+'Statens skalatrin'!N153</f>
        <v>521094.47</v>
      </c>
      <c r="C83" s="672">
        <f t="shared" si="0"/>
        <v>43424.54</v>
      </c>
      <c r="D83" s="670">
        <f>ROUND(B83*(1+'Løntabel gældende fra'!$D$7/100),0)</f>
        <v>574890</v>
      </c>
      <c r="E83" s="994">
        <f t="shared" si="1"/>
        <v>47907.5</v>
      </c>
      <c r="F83" s="984">
        <f t="shared" si="2"/>
        <v>7186.13</v>
      </c>
      <c r="G83" s="380">
        <f t="shared" si="3"/>
        <v>1077.9195</v>
      </c>
      <c r="H83" s="79"/>
    </row>
    <row r="84" spans="1:8" s="79" customFormat="1">
      <c r="A84" s="1317" t="s">
        <v>252</v>
      </c>
      <c r="B84" s="1317"/>
      <c r="C84" s="1317"/>
      <c r="D84" s="1317"/>
      <c r="E84" s="1317"/>
      <c r="F84" s="1317"/>
      <c r="G84" s="1317"/>
    </row>
    <row r="85" spans="1:8" s="79" customFormat="1" ht="15" customHeight="1">
      <c r="A85" s="78"/>
      <c r="B85" s="78"/>
      <c r="C85" s="78"/>
      <c r="D85" s="78"/>
      <c r="E85" s="78"/>
      <c r="F85" s="78"/>
      <c r="G85" s="78"/>
      <c r="H85" s="2"/>
    </row>
    <row r="86" spans="1:8">
      <c r="A86" s="1374"/>
      <c r="B86" s="1374"/>
      <c r="C86" s="1374"/>
      <c r="D86" s="1374"/>
      <c r="E86" s="1374"/>
      <c r="F86" s="1374"/>
      <c r="G86" s="1374"/>
    </row>
    <row r="87" spans="1:8">
      <c r="A87" s="7"/>
      <c r="B87" s="7"/>
      <c r="C87" s="7"/>
      <c r="D87" s="7"/>
      <c r="E87" s="7"/>
      <c r="F87" s="7"/>
      <c r="G87" s="7"/>
    </row>
    <row r="88" spans="1:8">
      <c r="A88" s="7"/>
      <c r="B88" s="7"/>
      <c r="C88" s="7"/>
      <c r="D88" s="7"/>
      <c r="E88" s="7"/>
      <c r="F88" s="7"/>
      <c r="G88" s="7"/>
    </row>
    <row r="89" spans="1:8">
      <c r="A89" s="7"/>
      <c r="B89" s="7"/>
      <c r="C89" s="7"/>
      <c r="D89" s="7"/>
      <c r="E89" s="7"/>
      <c r="F89" s="7"/>
      <c r="G89" s="7"/>
    </row>
    <row r="90" spans="1:8">
      <c r="A90" s="7"/>
      <c r="B90" s="7"/>
      <c r="C90" s="7"/>
      <c r="D90" s="7"/>
      <c r="E90" s="7"/>
      <c r="F90" s="7"/>
      <c r="G90" s="7"/>
    </row>
    <row r="91" spans="1:8">
      <c r="A91" s="7"/>
      <c r="B91" s="7"/>
      <c r="C91" s="7"/>
      <c r="D91" s="7"/>
      <c r="E91" s="7"/>
      <c r="F91" s="7"/>
      <c r="G91" s="7"/>
    </row>
    <row r="92" spans="1:8">
      <c r="A92" s="7"/>
      <c r="B92" s="7"/>
      <c r="C92" s="7"/>
      <c r="D92" s="7"/>
      <c r="E92" s="7"/>
      <c r="F92" s="7"/>
      <c r="G92" s="7"/>
    </row>
    <row r="93" spans="1:8">
      <c r="A93" s="7"/>
      <c r="B93" s="7"/>
      <c r="C93" s="7"/>
      <c r="D93" s="7"/>
      <c r="E93" s="7"/>
      <c r="F93" s="7"/>
      <c r="G93" s="7"/>
    </row>
    <row r="94" spans="1:8">
      <c r="A94" s="7"/>
      <c r="B94" s="7"/>
      <c r="C94" s="7"/>
      <c r="D94" s="7"/>
      <c r="E94" s="7"/>
      <c r="F94" s="7"/>
      <c r="G94" s="7"/>
    </row>
    <row r="95" spans="1:8">
      <c r="A95" s="7"/>
      <c r="B95" s="7"/>
      <c r="C95" s="7"/>
      <c r="D95" s="7"/>
      <c r="E95" s="7"/>
      <c r="F95" s="7"/>
      <c r="G95" s="7"/>
    </row>
    <row r="96" spans="1:8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</sheetData>
  <sheetProtection sheet="1" objects="1" scenarios="1"/>
  <mergeCells count="66"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  <mergeCell ref="E7:F7"/>
    <mergeCell ref="A9:B9"/>
    <mergeCell ref="C8:D8"/>
    <mergeCell ref="E8:F8"/>
    <mergeCell ref="N4:P4"/>
    <mergeCell ref="A86:G86"/>
    <mergeCell ref="C34:D34"/>
    <mergeCell ref="E36:F36"/>
    <mergeCell ref="A31:F32"/>
    <mergeCell ref="N30:P30"/>
    <mergeCell ref="N31:P31"/>
    <mergeCell ref="A15:F16"/>
    <mergeCell ref="C18:D18"/>
    <mergeCell ref="E20:F20"/>
    <mergeCell ref="A11:B11"/>
    <mergeCell ref="C9:D9"/>
    <mergeCell ref="E9:F9"/>
    <mergeCell ref="C35:D35"/>
    <mergeCell ref="A12:B12"/>
    <mergeCell ref="A10:B10"/>
    <mergeCell ref="A7:B8"/>
    <mergeCell ref="A6:F6"/>
    <mergeCell ref="A4:F5"/>
    <mergeCell ref="A2:G2"/>
    <mergeCell ref="A39:E39"/>
    <mergeCell ref="C36:D36"/>
    <mergeCell ref="A13:B13"/>
    <mergeCell ref="A36:B36"/>
    <mergeCell ref="B45:G45"/>
    <mergeCell ref="B44:D44"/>
    <mergeCell ref="A37:B37"/>
    <mergeCell ref="A38:B38"/>
    <mergeCell ref="C37:D37"/>
    <mergeCell ref="C38:D38"/>
    <mergeCell ref="A41:G41"/>
    <mergeCell ref="A42:A44"/>
    <mergeCell ref="B42:D43"/>
    <mergeCell ref="E37:F37"/>
    <mergeCell ref="E38:F38"/>
    <mergeCell ref="A84:G84"/>
    <mergeCell ref="A47:G47"/>
    <mergeCell ref="A48:G48"/>
    <mergeCell ref="A49:G49"/>
    <mergeCell ref="B51:G51"/>
    <mergeCell ref="A51:A53"/>
    <mergeCell ref="A56:A58"/>
    <mergeCell ref="B56:G56"/>
    <mergeCell ref="G61:G62"/>
    <mergeCell ref="A61:A63"/>
    <mergeCell ref="B61:C61"/>
    <mergeCell ref="D61:E61"/>
    <mergeCell ref="D62:E62"/>
    <mergeCell ref="B58:G59"/>
    <mergeCell ref="B53:G54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0" max="6" man="1"/>
    <brk id="86" max="16383" man="1"/>
  </rowBreaks>
  <colBreaks count="1" manualBreakCount="1">
    <brk id="8" max="1048575" man="1"/>
  </colBreaks>
  <ignoredErrors>
    <ignoredError sqref="D64:D65 D66:D8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7"/>
  <sheetViews>
    <sheetView zoomScale="130" zoomScaleNormal="130" workbookViewId="0">
      <selection sqref="A1:G1"/>
    </sheetView>
  </sheetViews>
  <sheetFormatPr baseColWidth="10" defaultColWidth="8.83203125" defaultRowHeight="14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>
      <c r="A1" s="1578" t="s">
        <v>404</v>
      </c>
      <c r="B1" s="1579"/>
      <c r="C1" s="1579"/>
      <c r="D1" s="1579"/>
      <c r="E1" s="1579"/>
      <c r="F1" s="1579"/>
      <c r="G1" s="1580"/>
      <c r="H1" s="728"/>
      <c r="I1" s="728"/>
    </row>
    <row r="2" spans="1:9" ht="8.25" customHeight="1">
      <c r="A2" s="768"/>
      <c r="B2" s="768"/>
      <c r="C2" s="768"/>
      <c r="D2" s="768"/>
      <c r="E2" s="768"/>
      <c r="F2" s="768"/>
      <c r="G2" s="768"/>
      <c r="H2" s="728"/>
      <c r="I2" s="728"/>
    </row>
    <row r="3" spans="1:9" s="27" customFormat="1" ht="11.25" customHeight="1" thickBot="1">
      <c r="A3" s="700"/>
      <c r="B3" s="700"/>
      <c r="C3" s="700"/>
      <c r="D3" s="700"/>
    </row>
    <row r="4" spans="1:9" s="701" customFormat="1" ht="21.75" customHeight="1" thickBot="1">
      <c r="A4" s="1465" t="s">
        <v>403</v>
      </c>
      <c r="B4" s="1466"/>
      <c r="C4" s="1466"/>
      <c r="D4" s="1466"/>
      <c r="E4" s="1466"/>
      <c r="F4" s="1466"/>
      <c r="G4" s="1467"/>
      <c r="H4" s="682"/>
    </row>
    <row r="5" spans="1:9" ht="8.25" customHeight="1" thickBot="1">
      <c r="A5" s="1468"/>
      <c r="B5" s="1468"/>
      <c r="C5" s="1468"/>
      <c r="D5" s="1468"/>
      <c r="E5" s="1468"/>
      <c r="F5" s="1468"/>
      <c r="G5" s="1468"/>
      <c r="H5" s="79"/>
    </row>
    <row r="6" spans="1:9" ht="16.5" customHeight="1">
      <c r="A6" s="1581" t="s">
        <v>263</v>
      </c>
      <c r="B6" s="1582"/>
      <c r="C6" s="1582"/>
      <c r="D6" s="1582"/>
      <c r="E6" s="1582"/>
      <c r="F6" s="1582"/>
      <c r="G6" s="1583"/>
      <c r="H6" s="219"/>
    </row>
    <row r="7" spans="1:9" ht="18.75" customHeight="1" thickBot="1">
      <c r="A7" s="1584" t="s">
        <v>405</v>
      </c>
      <c r="B7" s="1585"/>
      <c r="C7" s="1585"/>
      <c r="D7" s="1585"/>
      <c r="E7" s="1585"/>
      <c r="F7" s="1585"/>
      <c r="G7" s="1586"/>
      <c r="H7" s="729"/>
    </row>
    <row r="8" spans="1:9" ht="15" customHeight="1">
      <c r="A8" s="1474" t="s">
        <v>402</v>
      </c>
      <c r="B8" s="1475"/>
      <c r="C8" s="1490" t="s">
        <v>132</v>
      </c>
      <c r="D8" s="1492" t="s">
        <v>352</v>
      </c>
      <c r="E8" s="1492" t="s">
        <v>282</v>
      </c>
      <c r="F8" s="1549" t="s">
        <v>369</v>
      </c>
      <c r="G8" s="1565"/>
      <c r="H8" s="79"/>
    </row>
    <row r="9" spans="1:9" ht="28" customHeight="1">
      <c r="A9" s="1476"/>
      <c r="B9" s="1477"/>
      <c r="C9" s="1491"/>
      <c r="D9" s="1493"/>
      <c r="E9" s="1493"/>
      <c r="F9" s="1550"/>
      <c r="G9" s="1619"/>
    </row>
    <row r="10" spans="1:9" ht="16" thickBot="1">
      <c r="A10" s="1478"/>
      <c r="B10" s="1479"/>
      <c r="C10" s="765">
        <v>40999</v>
      </c>
      <c r="D10" s="731" t="str">
        <f>'Løntabel gældende fra'!$D$1</f>
        <v>01/04/2020</v>
      </c>
      <c r="E10" s="731" t="str">
        <f>'Løntabel gældende fra'!$D$1</f>
        <v>01/04/2020</v>
      </c>
      <c r="F10" s="1622" t="s">
        <v>368</v>
      </c>
      <c r="G10" s="1618"/>
    </row>
    <row r="11" spans="1:9">
      <c r="A11" s="1391">
        <v>1</v>
      </c>
      <c r="B11" s="1392"/>
      <c r="C11" s="995">
        <v>285240</v>
      </c>
      <c r="D11" s="996">
        <f>ROUND(C11*(1+'Løntabel gældende fra'!$D$7/100),2)</f>
        <v>314687.03999999998</v>
      </c>
      <c r="E11" s="996">
        <f>ROUND(D11/12,2)</f>
        <v>26223.919999999998</v>
      </c>
      <c r="F11" s="1630">
        <f>ROUND(E11*0.168,2)</f>
        <v>4405.62</v>
      </c>
      <c r="G11" s="1131"/>
    </row>
    <row r="12" spans="1:9">
      <c r="A12" s="1389">
        <v>2</v>
      </c>
      <c r="B12" s="1390"/>
      <c r="C12" s="997">
        <v>285240</v>
      </c>
      <c r="D12" s="730">
        <f>ROUND(C12*(1+'Løntabel gældende fra'!$D$7/100),2)</f>
        <v>314687.03999999998</v>
      </c>
      <c r="E12" s="730">
        <f t="shared" ref="E12:E15" si="0">ROUND(D12/12,2)</f>
        <v>26223.919999999998</v>
      </c>
      <c r="F12" s="1631">
        <f t="shared" ref="F12:F15" si="1">ROUND(E12*0.168,2)</f>
        <v>4405.62</v>
      </c>
      <c r="G12" s="1150"/>
    </row>
    <row r="13" spans="1:9">
      <c r="A13" s="1389">
        <v>3</v>
      </c>
      <c r="B13" s="1390"/>
      <c r="C13" s="997">
        <v>307417</v>
      </c>
      <c r="D13" s="730">
        <f>ROUND(C13*(1+'Løntabel gældende fra'!$D$7/100),2)</f>
        <v>339153.5</v>
      </c>
      <c r="E13" s="730">
        <f t="shared" si="0"/>
        <v>28262.79</v>
      </c>
      <c r="F13" s="1631">
        <f t="shared" si="1"/>
        <v>4748.1499999999996</v>
      </c>
      <c r="G13" s="1150"/>
    </row>
    <row r="14" spans="1:9">
      <c r="A14" s="1389">
        <v>4</v>
      </c>
      <c r="B14" s="1390"/>
      <c r="C14" s="997">
        <v>327643</v>
      </c>
      <c r="D14" s="730">
        <f>ROUND(C14*(1+'Løntabel gældende fra'!$D$7/100),2)</f>
        <v>361467.55</v>
      </c>
      <c r="E14" s="730">
        <f t="shared" si="0"/>
        <v>30122.3</v>
      </c>
      <c r="F14" s="1631">
        <f t="shared" si="1"/>
        <v>5060.55</v>
      </c>
      <c r="G14" s="1150"/>
    </row>
    <row r="15" spans="1:9" ht="15" thickBot="1">
      <c r="A15" s="1369">
        <v>5</v>
      </c>
      <c r="B15" s="1370"/>
      <c r="C15" s="998">
        <v>347571</v>
      </c>
      <c r="D15" s="999">
        <f>ROUND(C15*(1+'Løntabel gældende fra'!$D$7/100),2)</f>
        <v>383452.84</v>
      </c>
      <c r="E15" s="999">
        <f t="shared" si="0"/>
        <v>31954.400000000001</v>
      </c>
      <c r="F15" s="1603">
        <f t="shared" si="1"/>
        <v>5368.34</v>
      </c>
      <c r="G15" s="1604"/>
    </row>
    <row r="16" spans="1:9">
      <c r="A16" s="1480" t="s">
        <v>433</v>
      </c>
      <c r="B16" s="1480"/>
      <c r="C16" s="1480"/>
      <c r="D16" s="1480"/>
      <c r="E16" s="1480"/>
      <c r="F16" s="1480"/>
      <c r="G16" s="1480"/>
      <c r="H16" s="1480"/>
    </row>
    <row r="17" spans="1:9" ht="15" thickBot="1">
      <c r="I17" s="699"/>
    </row>
    <row r="18" spans="1:9" ht="15" thickBot="1">
      <c r="A18" s="1482" t="s">
        <v>447</v>
      </c>
      <c r="B18" s="1483"/>
      <c r="C18" s="1484"/>
      <c r="D18" s="1482" t="s">
        <v>423</v>
      </c>
      <c r="E18" s="1483"/>
      <c r="F18" s="1484"/>
      <c r="G18" s="697"/>
    </row>
    <row r="19" spans="1:9" ht="15" thickBot="1">
      <c r="A19" s="769" t="s">
        <v>424</v>
      </c>
      <c r="B19" s="1471" t="s">
        <v>97</v>
      </c>
      <c r="C19" s="1472"/>
      <c r="D19" s="769" t="s">
        <v>424</v>
      </c>
      <c r="E19" s="1471" t="s">
        <v>97</v>
      </c>
      <c r="F19" s="1473"/>
      <c r="G19" s="697"/>
    </row>
    <row r="20" spans="1:9" ht="15.75" customHeight="1">
      <c r="A20" s="770">
        <v>2</v>
      </c>
      <c r="B20" s="1469" t="s">
        <v>425</v>
      </c>
      <c r="C20" s="1481"/>
      <c r="D20" s="770">
        <v>1</v>
      </c>
      <c r="E20" s="1469" t="s">
        <v>428</v>
      </c>
      <c r="F20" s="1470"/>
      <c r="G20" s="697"/>
    </row>
    <row r="21" spans="1:9">
      <c r="A21" s="771">
        <v>4</v>
      </c>
      <c r="B21" s="1495" t="s">
        <v>426</v>
      </c>
      <c r="C21" s="1554"/>
      <c r="D21" s="771">
        <v>3</v>
      </c>
      <c r="E21" s="1495" t="s">
        <v>429</v>
      </c>
      <c r="F21" s="1496"/>
      <c r="G21" s="697"/>
    </row>
    <row r="22" spans="1:9" ht="15" thickBot="1">
      <c r="A22" s="772">
        <v>5</v>
      </c>
      <c r="B22" s="1497" t="s">
        <v>427</v>
      </c>
      <c r="C22" s="1498"/>
      <c r="D22" s="772">
        <v>5</v>
      </c>
      <c r="E22" s="1497" t="s">
        <v>430</v>
      </c>
      <c r="F22" s="1575"/>
      <c r="G22" s="697"/>
    </row>
    <row r="23" spans="1:9" ht="14" customHeight="1" thickBot="1">
      <c r="A23" s="696"/>
      <c r="B23" s="696"/>
      <c r="C23" s="697"/>
      <c r="D23" s="697"/>
      <c r="E23" s="698"/>
      <c r="F23" s="676"/>
      <c r="G23" s="676"/>
    </row>
    <row r="24" spans="1:9" ht="22.5" customHeight="1">
      <c r="A24" s="1581" t="s">
        <v>401</v>
      </c>
      <c r="B24" s="1582"/>
      <c r="C24" s="1582"/>
      <c r="D24" s="1582"/>
      <c r="E24" s="1582"/>
      <c r="F24" s="1582"/>
      <c r="G24" s="1583"/>
    </row>
    <row r="25" spans="1:9" ht="20.25" customHeight="1" thickBot="1">
      <c r="A25" s="1584" t="s">
        <v>405</v>
      </c>
      <c r="B25" s="1585"/>
      <c r="C25" s="1585"/>
      <c r="D25" s="1585"/>
      <c r="E25" s="1585"/>
      <c r="F25" s="1585"/>
      <c r="G25" s="1586"/>
    </row>
    <row r="26" spans="1:9" ht="15.75" customHeight="1">
      <c r="A26" s="1474" t="s">
        <v>95</v>
      </c>
      <c r="B26" s="1475"/>
      <c r="C26" s="1490" t="s">
        <v>132</v>
      </c>
      <c r="D26" s="1492" t="s">
        <v>352</v>
      </c>
      <c r="E26" s="1492" t="s">
        <v>282</v>
      </c>
      <c r="F26" s="1549" t="s">
        <v>369</v>
      </c>
      <c r="G26" s="1565"/>
    </row>
    <row r="27" spans="1:9" ht="15" customHeight="1">
      <c r="A27" s="1476"/>
      <c r="B27" s="1477"/>
      <c r="C27" s="1491"/>
      <c r="D27" s="1493"/>
      <c r="E27" s="1493"/>
      <c r="F27" s="1550"/>
      <c r="G27" s="1619"/>
    </row>
    <row r="28" spans="1:9" ht="16" thickBot="1">
      <c r="A28" s="1617"/>
      <c r="B28" s="1618"/>
      <c r="C28" s="765">
        <v>40999</v>
      </c>
      <c r="D28" s="731" t="str">
        <f>'Løntabel gældende fra'!$D$1</f>
        <v>01/04/2020</v>
      </c>
      <c r="E28" s="731" t="str">
        <f>'Løntabel gældende fra'!$D$1</f>
        <v>01/04/2020</v>
      </c>
      <c r="F28" s="1620">
        <v>0.16800000000000001</v>
      </c>
      <c r="G28" s="1621"/>
    </row>
    <row r="29" spans="1:9">
      <c r="A29" s="1576" t="s">
        <v>400</v>
      </c>
      <c r="B29" s="1577"/>
      <c r="C29" s="1000">
        <v>38000</v>
      </c>
      <c r="D29" s="1001">
        <f>ROUND(C29*(1+'Løntabel gældende fra'!$D$7/100),2)</f>
        <v>41922.97</v>
      </c>
      <c r="E29" s="1001">
        <f>ROUND(D29/12,2)</f>
        <v>3493.58</v>
      </c>
      <c r="F29" s="1597">
        <f>ROUND(E29*0.168,2)</f>
        <v>586.91999999999996</v>
      </c>
      <c r="G29" s="1598"/>
    </row>
    <row r="30" spans="1:9" ht="14.25" customHeight="1">
      <c r="A30" s="1389" t="s">
        <v>399</v>
      </c>
      <c r="B30" s="1390"/>
      <c r="C30" s="1002">
        <v>38000</v>
      </c>
      <c r="D30" s="734">
        <f>ROUND(C30*(1+'Løntabel gældende fra'!$D$7/100),2)</f>
        <v>41922.97</v>
      </c>
      <c r="E30" s="734">
        <f t="shared" ref="E30:E35" si="2">ROUND(D30/12,2)</f>
        <v>3493.58</v>
      </c>
      <c r="F30" s="1599">
        <f t="shared" ref="F30:F35" si="3">ROUND(E30*0.168,2)</f>
        <v>586.91999999999996</v>
      </c>
      <c r="G30" s="1600"/>
    </row>
    <row r="31" spans="1:9">
      <c r="A31" s="1389" t="s">
        <v>398</v>
      </c>
      <c r="B31" s="1390"/>
      <c r="C31" s="1002">
        <v>50000</v>
      </c>
      <c r="D31" s="734">
        <f>ROUND(C31*(1+'Løntabel gældende fra'!$D$7/100),2)</f>
        <v>55161.8</v>
      </c>
      <c r="E31" s="734">
        <f t="shared" si="2"/>
        <v>4596.82</v>
      </c>
      <c r="F31" s="1599">
        <f t="shared" si="3"/>
        <v>772.27</v>
      </c>
      <c r="G31" s="1600"/>
    </row>
    <row r="32" spans="1:9">
      <c r="A32" s="1389" t="s">
        <v>397</v>
      </c>
      <c r="B32" s="1390"/>
      <c r="C32" s="1002">
        <v>50000</v>
      </c>
      <c r="D32" s="734">
        <f>ROUND(C32*(1+'Løntabel gældende fra'!$D$7/100),2)</f>
        <v>55161.8</v>
      </c>
      <c r="E32" s="734">
        <f t="shared" si="2"/>
        <v>4596.82</v>
      </c>
      <c r="F32" s="1599">
        <f t="shared" si="3"/>
        <v>772.27</v>
      </c>
      <c r="G32" s="1600"/>
    </row>
    <row r="33" spans="1:7" ht="15" customHeight="1">
      <c r="A33" s="1385" t="s">
        <v>396</v>
      </c>
      <c r="B33" s="1386"/>
      <c r="C33" s="1002">
        <v>50000</v>
      </c>
      <c r="D33" s="734">
        <f>ROUND(C33*(1+'Løntabel gældende fra'!$D$7/100),2)</f>
        <v>55161.8</v>
      </c>
      <c r="E33" s="734">
        <f t="shared" si="2"/>
        <v>4596.82</v>
      </c>
      <c r="F33" s="1599">
        <f t="shared" si="3"/>
        <v>772.27</v>
      </c>
      <c r="G33" s="1600"/>
    </row>
    <row r="34" spans="1:7" ht="15.75" customHeight="1">
      <c r="A34" s="1389" t="s">
        <v>422</v>
      </c>
      <c r="B34" s="1390"/>
      <c r="C34" s="1002">
        <v>50000</v>
      </c>
      <c r="D34" s="734">
        <f>ROUND(C34*(1+'Løntabel gældende fra'!$D$7/100),2)</f>
        <v>55161.8</v>
      </c>
      <c r="E34" s="734">
        <f t="shared" si="2"/>
        <v>4596.82</v>
      </c>
      <c r="F34" s="1599">
        <f t="shared" si="3"/>
        <v>772.27</v>
      </c>
      <c r="G34" s="1600"/>
    </row>
    <row r="35" spans="1:7" ht="15.75" customHeight="1" thickBot="1">
      <c r="A35" s="1478" t="s">
        <v>395</v>
      </c>
      <c r="B35" s="1479"/>
      <c r="C35" s="1003">
        <v>72500</v>
      </c>
      <c r="D35" s="1004">
        <f>ROUND(C35*(1+'Løntabel gældende fra'!$D$7/100),2)</f>
        <v>79984.61</v>
      </c>
      <c r="E35" s="1004">
        <f t="shared" si="2"/>
        <v>6665.38</v>
      </c>
      <c r="F35" s="1601">
        <f t="shared" si="3"/>
        <v>1119.78</v>
      </c>
      <c r="G35" s="1602"/>
    </row>
    <row r="36" spans="1:7" ht="15.75" customHeight="1" thickBot="1">
      <c r="A36" s="695"/>
      <c r="B36" s="695"/>
      <c r="C36" s="695"/>
      <c r="D36" s="695"/>
      <c r="E36" s="695"/>
      <c r="F36" s="695"/>
      <c r="G36" s="695"/>
    </row>
    <row r="37" spans="1:7" ht="19.5" customHeight="1">
      <c r="A37" s="1205" t="s">
        <v>407</v>
      </c>
      <c r="B37" s="1206"/>
      <c r="C37" s="1206"/>
      <c r="D37" s="1206"/>
      <c r="E37" s="1206"/>
      <c r="F37" s="1206"/>
      <c r="G37" s="1207"/>
    </row>
    <row r="38" spans="1:7" ht="14" customHeight="1">
      <c r="A38" s="1591" t="s">
        <v>406</v>
      </c>
      <c r="B38" s="1592"/>
      <c r="C38" s="1592"/>
      <c r="D38" s="1592"/>
      <c r="E38" s="1592"/>
      <c r="F38" s="1592"/>
      <c r="G38" s="1593"/>
    </row>
    <row r="39" spans="1:7" ht="18" customHeight="1" thickBot="1">
      <c r="A39" s="1594"/>
      <c r="B39" s="1595"/>
      <c r="C39" s="1595"/>
      <c r="D39" s="1595"/>
      <c r="E39" s="1595"/>
      <c r="F39" s="1595"/>
      <c r="G39" s="1596"/>
    </row>
    <row r="40" spans="1:7" ht="19.5" customHeight="1" thickBot="1">
      <c r="A40" s="1588" t="s">
        <v>394</v>
      </c>
      <c r="B40" s="1589"/>
      <c r="C40" s="1589"/>
      <c r="D40" s="1589"/>
      <c r="E40" s="1589"/>
      <c r="F40" s="1589"/>
      <c r="G40" s="1590"/>
    </row>
    <row r="41" spans="1:7">
      <c r="A41" s="1545" t="s">
        <v>392</v>
      </c>
      <c r="B41" s="1564"/>
      <c r="C41" s="1564"/>
      <c r="D41" s="1565"/>
      <c r="E41" s="1490" t="s">
        <v>132</v>
      </c>
      <c r="F41" s="1492" t="s">
        <v>352</v>
      </c>
      <c r="G41" s="1475" t="s">
        <v>282</v>
      </c>
    </row>
    <row r="42" spans="1:7">
      <c r="A42" s="1566"/>
      <c r="B42" s="1567"/>
      <c r="C42" s="1567"/>
      <c r="D42" s="1568"/>
      <c r="E42" s="1491"/>
      <c r="F42" s="1493"/>
      <c r="G42" s="1477"/>
    </row>
    <row r="43" spans="1:7" ht="16" thickBot="1">
      <c r="A43" s="1569"/>
      <c r="B43" s="1570"/>
      <c r="C43" s="1570"/>
      <c r="D43" s="1571"/>
      <c r="E43" s="765">
        <v>40999</v>
      </c>
      <c r="F43" s="736" t="str">
        <f>'Løntabel gældende fra'!$D$1</f>
        <v>01/04/2020</v>
      </c>
      <c r="G43" s="803" t="str">
        <f>F43</f>
        <v>01/04/2020</v>
      </c>
    </row>
    <row r="44" spans="1:7">
      <c r="A44" s="1572">
        <v>-200</v>
      </c>
      <c r="B44" s="1573"/>
      <c r="C44" s="1573"/>
      <c r="D44" s="1574"/>
      <c r="E44" s="732">
        <v>18200</v>
      </c>
      <c r="F44" s="730">
        <f>ROUND(E44*(1+'Løntabel gældende fra'!$D$7/100),2)</f>
        <v>20078.900000000001</v>
      </c>
      <c r="G44" s="409">
        <f>ROUND(F44/12,2)</f>
        <v>1673.24</v>
      </c>
    </row>
    <row r="45" spans="1:7">
      <c r="A45" s="1542" t="s">
        <v>391</v>
      </c>
      <c r="B45" s="1543"/>
      <c r="C45" s="1543"/>
      <c r="D45" s="1544"/>
      <c r="E45" s="692">
        <v>33300</v>
      </c>
      <c r="F45" s="730">
        <f>ROUND(E45*(1+'Løntabel gældende fra'!$D$7/100),2)</f>
        <v>36737.760000000002</v>
      </c>
      <c r="G45" s="409">
        <f t="shared" ref="G45:G48" si="4">ROUND(F45/12,2)</f>
        <v>3061.48</v>
      </c>
    </row>
    <row r="46" spans="1:7">
      <c r="A46" s="1542" t="s">
        <v>390</v>
      </c>
      <c r="B46" s="1543"/>
      <c r="C46" s="1543"/>
      <c r="D46" s="1544"/>
      <c r="E46" s="692">
        <v>44000</v>
      </c>
      <c r="F46" s="730">
        <f>ROUND(E46*(1+'Løntabel gældende fra'!$D$7/100),2)</f>
        <v>48542.38</v>
      </c>
      <c r="G46" s="409">
        <f t="shared" si="4"/>
        <v>4045.2</v>
      </c>
    </row>
    <row r="47" spans="1:7" ht="14" customHeight="1">
      <c r="A47" s="1542" t="s">
        <v>389</v>
      </c>
      <c r="B47" s="1543"/>
      <c r="C47" s="1543"/>
      <c r="D47" s="1544"/>
      <c r="E47" s="692">
        <v>54700</v>
      </c>
      <c r="F47" s="730">
        <f>ROUND(E47*(1+'Løntabel gældende fra'!$D$7/100),2)</f>
        <v>60347.01</v>
      </c>
      <c r="G47" s="409">
        <f t="shared" si="4"/>
        <v>5028.92</v>
      </c>
    </row>
    <row r="48" spans="1:7" ht="15" thickBot="1">
      <c r="A48" s="1561" t="s">
        <v>388</v>
      </c>
      <c r="B48" s="1562"/>
      <c r="C48" s="1562"/>
      <c r="D48" s="1563"/>
      <c r="E48" s="694">
        <v>60700</v>
      </c>
      <c r="F48" s="730">
        <f>ROUND(E48*(1+'Løntabel gældende fra'!$D$7/100),2)</f>
        <v>66966.429999999993</v>
      </c>
      <c r="G48" s="409">
        <f t="shared" si="4"/>
        <v>5580.54</v>
      </c>
    </row>
    <row r="49" spans="1:10" ht="22.5" customHeight="1" thickBot="1">
      <c r="A49" s="1588" t="s">
        <v>393</v>
      </c>
      <c r="B49" s="1589"/>
      <c r="C49" s="1589"/>
      <c r="D49" s="1589"/>
      <c r="E49" s="1589"/>
      <c r="F49" s="1589"/>
      <c r="G49" s="1590"/>
    </row>
    <row r="50" spans="1:10">
      <c r="A50" s="1545" t="s">
        <v>392</v>
      </c>
      <c r="B50" s="1564"/>
      <c r="C50" s="1564"/>
      <c r="D50" s="1565"/>
      <c r="E50" s="1555" t="s">
        <v>132</v>
      </c>
      <c r="F50" s="1557" t="s">
        <v>352</v>
      </c>
      <c r="G50" s="1559" t="s">
        <v>282</v>
      </c>
    </row>
    <row r="51" spans="1:10">
      <c r="A51" s="1566"/>
      <c r="B51" s="1567"/>
      <c r="C51" s="1567"/>
      <c r="D51" s="1568"/>
      <c r="E51" s="1556"/>
      <c r="F51" s="1558"/>
      <c r="G51" s="1560"/>
    </row>
    <row r="52" spans="1:10" ht="16" thickBot="1">
      <c r="A52" s="1569"/>
      <c r="B52" s="1570"/>
      <c r="C52" s="1570"/>
      <c r="D52" s="1571"/>
      <c r="E52" s="765">
        <v>40999</v>
      </c>
      <c r="F52" s="736" t="str">
        <f>'Løntabel gældende fra'!$D$1</f>
        <v>01/04/2020</v>
      </c>
      <c r="G52" s="803" t="str">
        <f>F52</f>
        <v>01/04/2020</v>
      </c>
      <c r="J52" s="676"/>
    </row>
    <row r="53" spans="1:10">
      <c r="A53" s="1572">
        <v>-200</v>
      </c>
      <c r="B53" s="1573"/>
      <c r="C53" s="1573"/>
      <c r="D53" s="1574"/>
      <c r="E53" s="732">
        <v>12500</v>
      </c>
      <c r="F53" s="730">
        <f>ROUND(E53*(1+'Løntabel gældende fra'!$D$7/100),2)</f>
        <v>13790.45</v>
      </c>
      <c r="G53" s="409">
        <f>ROUND(F53/12,2)</f>
        <v>1149.2</v>
      </c>
      <c r="J53" s="678"/>
    </row>
    <row r="54" spans="1:10" ht="14" customHeight="1">
      <c r="A54" s="1542" t="s">
        <v>391</v>
      </c>
      <c r="B54" s="1543"/>
      <c r="C54" s="1543"/>
      <c r="D54" s="1544"/>
      <c r="E54" s="692">
        <v>13600</v>
      </c>
      <c r="F54" s="730">
        <f>ROUND(E54*(1+'Løntabel gældende fra'!$D$7/100),2)</f>
        <v>15004.01</v>
      </c>
      <c r="G54" s="409">
        <f t="shared" ref="G54:G57" si="5">ROUND(F54/12,2)</f>
        <v>1250.33</v>
      </c>
    </row>
    <row r="55" spans="1:10" ht="15" customHeight="1">
      <c r="A55" s="1542" t="s">
        <v>390</v>
      </c>
      <c r="B55" s="1543"/>
      <c r="C55" s="1543"/>
      <c r="D55" s="1544"/>
      <c r="E55" s="692">
        <v>18200</v>
      </c>
      <c r="F55" s="730">
        <f>ROUND(E55*(1+'Løntabel gældende fra'!$D$7/100),2)</f>
        <v>20078.900000000001</v>
      </c>
      <c r="G55" s="409">
        <f t="shared" si="5"/>
        <v>1673.24</v>
      </c>
    </row>
    <row r="56" spans="1:10" ht="15" customHeight="1">
      <c r="A56" s="1542" t="s">
        <v>389</v>
      </c>
      <c r="B56" s="1543"/>
      <c r="C56" s="1543"/>
      <c r="D56" s="1544"/>
      <c r="E56" s="692">
        <v>25200</v>
      </c>
      <c r="F56" s="730">
        <f>ROUND(E56*(1+'Løntabel gældende fra'!$D$7/100),2)</f>
        <v>27801.55</v>
      </c>
      <c r="G56" s="409">
        <f t="shared" si="5"/>
        <v>2316.8000000000002</v>
      </c>
    </row>
    <row r="57" spans="1:10" ht="16.5" customHeight="1" thickBot="1">
      <c r="A57" s="1561" t="s">
        <v>388</v>
      </c>
      <c r="B57" s="1562"/>
      <c r="C57" s="1562"/>
      <c r="D57" s="1563"/>
      <c r="E57" s="694">
        <v>28000</v>
      </c>
      <c r="F57" s="730">
        <f>ROUND(E57*(1+'Løntabel gældende fra'!$D$7/100),2)</f>
        <v>30890.61</v>
      </c>
      <c r="G57" s="409">
        <f t="shared" si="5"/>
        <v>2574.2199999999998</v>
      </c>
    </row>
    <row r="58" spans="1:10" ht="15.75" customHeight="1" thickBot="1">
      <c r="A58" s="680"/>
      <c r="B58" s="680"/>
      <c r="C58" s="680"/>
      <c r="D58" s="680"/>
      <c r="E58" s="680"/>
      <c r="F58" s="680"/>
      <c r="G58" s="680"/>
    </row>
    <row r="59" spans="1:10" ht="17.25" customHeight="1">
      <c r="A59" s="1218" t="s">
        <v>387</v>
      </c>
      <c r="B59" s="1219"/>
      <c r="C59" s="1219"/>
      <c r="D59" s="1219"/>
      <c r="E59" s="1219"/>
      <c r="F59" s="1219"/>
      <c r="G59" s="1220"/>
    </row>
    <row r="60" spans="1:10" ht="17.25" customHeight="1" thickBot="1">
      <c r="A60" s="1182" t="s">
        <v>408</v>
      </c>
      <c r="B60" s="1183"/>
      <c r="C60" s="1183"/>
      <c r="D60" s="1183"/>
      <c r="E60" s="1183"/>
      <c r="F60" s="1183"/>
      <c r="G60" s="1184"/>
    </row>
    <row r="61" spans="1:10" ht="28" customHeight="1">
      <c r="A61" s="1474" t="s">
        <v>421</v>
      </c>
      <c r="B61" s="1492"/>
      <c r="C61" s="1475" t="s">
        <v>386</v>
      </c>
      <c r="D61" s="1490" t="s">
        <v>132</v>
      </c>
      <c r="E61" s="1492" t="s">
        <v>352</v>
      </c>
      <c r="F61" s="1632" t="s">
        <v>282</v>
      </c>
      <c r="G61" s="1608" t="s">
        <v>442</v>
      </c>
    </row>
    <row r="62" spans="1:10" ht="17.25" customHeight="1">
      <c r="A62" s="1476"/>
      <c r="B62" s="1493"/>
      <c r="C62" s="1477"/>
      <c r="D62" s="1491"/>
      <c r="E62" s="1493"/>
      <c r="F62" s="1633"/>
      <c r="G62" s="1609"/>
    </row>
    <row r="63" spans="1:10" ht="14" customHeight="1" thickBot="1">
      <c r="A63" s="1478"/>
      <c r="B63" s="1610"/>
      <c r="C63" s="1479"/>
      <c r="D63" s="764">
        <v>40999</v>
      </c>
      <c r="E63" s="736" t="str">
        <f>'Løntabel gældende fra'!$D$1</f>
        <v>01/04/2020</v>
      </c>
      <c r="F63" s="736" t="str">
        <f>E63</f>
        <v>01/04/2020</v>
      </c>
      <c r="G63" s="737">
        <v>0.16800000000000001</v>
      </c>
      <c r="H63" s="676"/>
    </row>
    <row r="64" spans="1:10" ht="14" customHeight="1">
      <c r="A64" s="1499" t="s">
        <v>385</v>
      </c>
      <c r="B64" s="1500"/>
      <c r="C64" s="739" t="s">
        <v>384</v>
      </c>
      <c r="D64" s="738">
        <v>4300</v>
      </c>
      <c r="E64" s="734">
        <f>ROUND(D64*(1+'Løntabel gældende fra'!$D$7/100),2)</f>
        <v>4743.91</v>
      </c>
      <c r="F64" s="734">
        <f>ROUND(E64/12,2)</f>
        <v>395.33</v>
      </c>
      <c r="G64" s="735">
        <f>ROUND(F64*0.168,2)</f>
        <v>66.42</v>
      </c>
    </row>
    <row r="65" spans="1:9" ht="14.5" customHeight="1">
      <c r="A65" s="1278" t="s">
        <v>381</v>
      </c>
      <c r="B65" s="1494"/>
      <c r="C65" s="740" t="s">
        <v>383</v>
      </c>
      <c r="D65" s="733">
        <v>6900</v>
      </c>
      <c r="E65" s="734">
        <f>ROUND(D65*(1+'Løntabel gældende fra'!$D$7/100),2)</f>
        <v>7612.33</v>
      </c>
      <c r="F65" s="734">
        <f t="shared" ref="F65:F69" si="6">ROUND(E65/12,2)</f>
        <v>634.36</v>
      </c>
      <c r="G65" s="735">
        <f t="shared" ref="G65:G69" si="7">ROUND(F65*0.168,2)</f>
        <v>106.57</v>
      </c>
    </row>
    <row r="66" spans="1:9" ht="14" customHeight="1">
      <c r="A66" s="1278" t="s">
        <v>381</v>
      </c>
      <c r="B66" s="1494"/>
      <c r="C66" s="740" t="s">
        <v>382</v>
      </c>
      <c r="D66" s="692">
        <v>12600</v>
      </c>
      <c r="E66" s="734">
        <f>ROUND(D66*(1+'Løntabel gældende fra'!$D$7/100),2)</f>
        <v>13900.77</v>
      </c>
      <c r="F66" s="734">
        <f t="shared" si="6"/>
        <v>1158.4000000000001</v>
      </c>
      <c r="G66" s="735">
        <f t="shared" si="7"/>
        <v>194.61</v>
      </c>
    </row>
    <row r="67" spans="1:9" ht="15.75" customHeight="1">
      <c r="A67" s="1278" t="s">
        <v>381</v>
      </c>
      <c r="B67" s="1494"/>
      <c r="C67" s="740" t="s">
        <v>380</v>
      </c>
      <c r="D67" s="692">
        <v>19500</v>
      </c>
      <c r="E67" s="734">
        <f>ROUND(D67*(1+'Løntabel gældende fra'!$D$7/100),2)</f>
        <v>21513.1</v>
      </c>
      <c r="F67" s="734">
        <f t="shared" si="6"/>
        <v>1792.76</v>
      </c>
      <c r="G67" s="735">
        <f t="shared" si="7"/>
        <v>301.18</v>
      </c>
    </row>
    <row r="68" spans="1:9" ht="32.25" customHeight="1">
      <c r="A68" s="1278" t="s">
        <v>378</v>
      </c>
      <c r="B68" s="1494"/>
      <c r="C68" s="741" t="s">
        <v>379</v>
      </c>
      <c r="D68" s="733">
        <v>19500</v>
      </c>
      <c r="E68" s="734">
        <f>ROUND(D68*(1+'Løntabel gældende fra'!$D$7/100),2)</f>
        <v>21513.1</v>
      </c>
      <c r="F68" s="734">
        <f t="shared" si="6"/>
        <v>1792.76</v>
      </c>
      <c r="G68" s="735">
        <f t="shared" si="7"/>
        <v>301.18</v>
      </c>
    </row>
    <row r="69" spans="1:9" ht="29.25" customHeight="1" thickBot="1">
      <c r="A69" s="1520" t="s">
        <v>378</v>
      </c>
      <c r="B69" s="1521"/>
      <c r="C69" s="742" t="s">
        <v>432</v>
      </c>
      <c r="D69" s="693">
        <v>39000</v>
      </c>
      <c r="E69" s="734">
        <f>ROUND(D69*(1+'Løntabel gældende fra'!$D$7/100),2)</f>
        <v>43026.2</v>
      </c>
      <c r="F69" s="734">
        <f t="shared" si="6"/>
        <v>3585.52</v>
      </c>
      <c r="G69" s="735">
        <f t="shared" si="7"/>
        <v>602.37</v>
      </c>
    </row>
    <row r="70" spans="1:9" ht="14" customHeight="1" thickBot="1">
      <c r="A70" s="681"/>
      <c r="B70" s="681"/>
      <c r="C70" s="681"/>
      <c r="D70" s="681"/>
      <c r="E70" s="681"/>
      <c r="F70" s="681"/>
      <c r="G70" s="681"/>
      <c r="H70" s="676"/>
      <c r="I70" s="676"/>
    </row>
    <row r="71" spans="1:9" ht="16.5" customHeight="1">
      <c r="A71" s="1218" t="s">
        <v>377</v>
      </c>
      <c r="B71" s="1219"/>
      <c r="C71" s="1219"/>
      <c r="D71" s="1219"/>
      <c r="E71" s="1219"/>
      <c r="F71" s="1219"/>
      <c r="G71" s="1220"/>
    </row>
    <row r="72" spans="1:9" ht="16" customHeight="1" thickBot="1">
      <c r="A72" s="1423" t="s">
        <v>409</v>
      </c>
      <c r="B72" s="1424"/>
      <c r="C72" s="1424"/>
      <c r="D72" s="1424"/>
      <c r="E72" s="1424"/>
      <c r="F72" s="1424"/>
      <c r="G72" s="1425"/>
    </row>
    <row r="73" spans="1:9" ht="16.5" customHeight="1">
      <c r="A73" s="1545" t="s">
        <v>132</v>
      </c>
      <c r="B73" s="1546"/>
      <c r="C73" s="1549" t="s">
        <v>352</v>
      </c>
      <c r="D73" s="1546"/>
      <c r="E73" s="1492" t="s">
        <v>369</v>
      </c>
      <c r="F73" s="1492"/>
      <c r="G73" s="1475"/>
    </row>
    <row r="74" spans="1:9" ht="15" customHeight="1">
      <c r="A74" s="1547"/>
      <c r="B74" s="1548"/>
      <c r="C74" s="1550"/>
      <c r="D74" s="1548"/>
      <c r="E74" s="1493"/>
      <c r="F74" s="1493"/>
      <c r="G74" s="1477"/>
    </row>
    <row r="75" spans="1:9" ht="15" thickBot="1">
      <c r="A75" s="1611">
        <v>40999</v>
      </c>
      <c r="B75" s="1612"/>
      <c r="C75" s="1613" t="str">
        <f>'Løntabel gældende fra'!$D$1</f>
        <v>01/04/2020</v>
      </c>
      <c r="D75" s="1614"/>
      <c r="E75" s="1610" t="s">
        <v>368</v>
      </c>
      <c r="F75" s="1610"/>
      <c r="G75" s="1479"/>
    </row>
    <row r="76" spans="1:9" ht="21.75" customHeight="1" thickBot="1">
      <c r="A76" s="1435">
        <v>21900</v>
      </c>
      <c r="B76" s="1437"/>
      <c r="C76" s="1447">
        <f>ROUND(A76*(1+'Løntabel gældende fra'!$D$7/100),2)</f>
        <v>24160.87</v>
      </c>
      <c r="D76" s="1437"/>
      <c r="E76" s="1603">
        <f>ROUND(C76*0.168,2)</f>
        <v>4059.03</v>
      </c>
      <c r="F76" s="1603"/>
      <c r="G76" s="1604"/>
    </row>
    <row r="77" spans="1:9" ht="16.5" customHeight="1">
      <c r="A77" s="7" t="s">
        <v>376</v>
      </c>
      <c r="B77" s="679"/>
      <c r="C77" s="679"/>
      <c r="D77" s="679"/>
      <c r="E77" s="679"/>
      <c r="F77" s="679"/>
      <c r="G77" s="679"/>
    </row>
    <row r="78" spans="1:9" ht="21" customHeight="1" thickBot="1">
      <c r="A78" s="14"/>
      <c r="B78" s="14"/>
      <c r="C78" s="14"/>
      <c r="D78" s="14"/>
      <c r="E78" s="14"/>
      <c r="F78" s="14"/>
      <c r="G78" s="14"/>
    </row>
    <row r="79" spans="1:9" ht="19.5" customHeight="1">
      <c r="A79" s="1420" t="s">
        <v>375</v>
      </c>
      <c r="B79" s="1421"/>
      <c r="C79" s="1421"/>
      <c r="D79" s="1421"/>
      <c r="E79" s="1421"/>
      <c r="F79" s="1421"/>
      <c r="G79" s="1422"/>
    </row>
    <row r="80" spans="1:9" ht="20.25" customHeight="1" thickBot="1">
      <c r="A80" s="1423" t="s">
        <v>410</v>
      </c>
      <c r="B80" s="1424"/>
      <c r="C80" s="1424"/>
      <c r="D80" s="1424"/>
      <c r="E80" s="1424"/>
      <c r="F80" s="1424"/>
      <c r="G80" s="1425"/>
    </row>
    <row r="81" spans="1:10" ht="12.75" customHeight="1">
      <c r="A81" s="1426" t="s">
        <v>132</v>
      </c>
      <c r="B81" s="1427"/>
      <c r="C81" s="1427"/>
      <c r="D81" s="1428"/>
      <c r="E81" s="1438" t="s">
        <v>352</v>
      </c>
      <c r="F81" s="1439"/>
      <c r="G81" s="1440"/>
    </row>
    <row r="82" spans="1:10" ht="11.25" customHeight="1">
      <c r="A82" s="1429"/>
      <c r="B82" s="1430"/>
      <c r="C82" s="1430"/>
      <c r="D82" s="1431"/>
      <c r="E82" s="1441"/>
      <c r="F82" s="1442"/>
      <c r="G82" s="1443"/>
    </row>
    <row r="83" spans="1:10" ht="12.75" customHeight="1" thickBot="1">
      <c r="A83" s="1432">
        <v>40999</v>
      </c>
      <c r="B83" s="1433"/>
      <c r="C83" s="1433"/>
      <c r="D83" s="1434"/>
      <c r="E83" s="1444" t="str">
        <f>'Løntabel gældende fra'!$D$1</f>
        <v>01/04/2020</v>
      </c>
      <c r="F83" s="1445"/>
      <c r="G83" s="1446"/>
      <c r="J83" s="677"/>
    </row>
    <row r="84" spans="1:10" ht="17.25" customHeight="1" thickBot="1">
      <c r="A84" s="1435">
        <v>8800</v>
      </c>
      <c r="B84" s="1436"/>
      <c r="C84" s="1436"/>
      <c r="D84" s="1437"/>
      <c r="E84" s="1447">
        <f>ROUND(A84*(1+'Løntabel gældende fra'!$D$7/100),2)</f>
        <v>9708.48</v>
      </c>
      <c r="F84" s="1436"/>
      <c r="G84" s="1448"/>
      <c r="J84" s="676"/>
    </row>
    <row r="85" spans="1:10" s="27" customFormat="1" ht="17.25" customHeight="1" thickBot="1">
      <c r="A85" s="236"/>
      <c r="B85" s="236"/>
      <c r="C85" s="236"/>
      <c r="D85" s="236"/>
      <c r="E85" s="236"/>
      <c r="F85" s="236"/>
      <c r="G85" s="236"/>
      <c r="J85" s="676"/>
    </row>
    <row r="86" spans="1:10" ht="21" customHeight="1" thickBot="1">
      <c r="A86" s="1501" t="s">
        <v>411</v>
      </c>
      <c r="B86" s="1502"/>
      <c r="C86" s="1502"/>
      <c r="D86" s="1502"/>
      <c r="E86" s="1502"/>
      <c r="F86" s="1502"/>
      <c r="G86" s="1503"/>
      <c r="J86" s="676"/>
    </row>
    <row r="87" spans="1:10" s="27" customFormat="1" ht="12.75" customHeight="1" thickBot="1">
      <c r="A87" s="689"/>
      <c r="B87" s="689"/>
      <c r="C87" s="689"/>
      <c r="D87" s="689"/>
      <c r="E87" s="689"/>
      <c r="F87" s="689"/>
      <c r="G87" s="689"/>
    </row>
    <row r="88" spans="1:10" ht="17.25" customHeight="1">
      <c r="A88" s="1504" t="s">
        <v>365</v>
      </c>
      <c r="B88" s="1505"/>
      <c r="C88" s="1505"/>
      <c r="D88" s="1505"/>
      <c r="E88" s="1505"/>
      <c r="F88" s="1505"/>
      <c r="G88" s="1506"/>
      <c r="H88" s="27"/>
    </row>
    <row r="89" spans="1:10" ht="17.25" customHeight="1">
      <c r="A89" s="1551" t="s">
        <v>431</v>
      </c>
      <c r="B89" s="1552"/>
      <c r="C89" s="1552"/>
      <c r="D89" s="1552"/>
      <c r="E89" s="1552"/>
      <c r="F89" s="1552"/>
      <c r="G89" s="1553"/>
      <c r="H89" s="27"/>
    </row>
    <row r="90" spans="1:10" ht="15" thickBot="1">
      <c r="A90" s="1536" t="s">
        <v>506</v>
      </c>
      <c r="B90" s="1537"/>
      <c r="C90" s="1537"/>
      <c r="D90" s="1537"/>
      <c r="E90" s="1538"/>
      <c r="F90" s="1538"/>
      <c r="G90" s="1539"/>
      <c r="H90" s="27"/>
    </row>
    <row r="91" spans="1:10" ht="15" customHeight="1">
      <c r="A91" s="1404" t="s">
        <v>57</v>
      </c>
      <c r="B91" s="1488" t="s">
        <v>132</v>
      </c>
      <c r="C91" s="1452" t="s">
        <v>352</v>
      </c>
      <c r="D91" s="1454" t="s">
        <v>415</v>
      </c>
      <c r="E91" s="1459" t="s">
        <v>94</v>
      </c>
      <c r="F91" s="1452"/>
      <c r="G91" s="1626"/>
      <c r="H91" s="711"/>
      <c r="I91" s="711"/>
    </row>
    <row r="92" spans="1:10" ht="14" customHeight="1">
      <c r="A92" s="1540"/>
      <c r="B92" s="1489"/>
      <c r="C92" s="1453"/>
      <c r="D92" s="1455"/>
      <c r="E92" s="1460"/>
      <c r="F92" s="1453"/>
      <c r="G92" s="1627"/>
    </row>
    <row r="93" spans="1:10" ht="15.75" customHeight="1" thickBot="1">
      <c r="A93" s="1541"/>
      <c r="B93" s="748">
        <v>40999</v>
      </c>
      <c r="C93" s="749" t="str">
        <f>'Løntabel gældende fra'!$D$1</f>
        <v>01/04/2020</v>
      </c>
      <c r="D93" s="804" t="str">
        <f>C93</f>
        <v>01/04/2020</v>
      </c>
      <c r="E93" s="1623" t="s">
        <v>364</v>
      </c>
      <c r="F93" s="1624"/>
      <c r="G93" s="1625"/>
    </row>
    <row r="94" spans="1:10" ht="17.25" customHeight="1" thickBot="1">
      <c r="A94" s="744">
        <v>50</v>
      </c>
      <c r="B94" s="743">
        <v>521094</v>
      </c>
      <c r="C94" s="745">
        <f>B94*(1+'Løntabel gældende fra'!$D$7/100)</f>
        <v>574889.66018400004</v>
      </c>
      <c r="D94" s="746">
        <f>ROUND(C94/12,2)</f>
        <v>47907.47</v>
      </c>
      <c r="E94" s="1605">
        <f>ROUND(D94*0.171,2)</f>
        <v>8192.18</v>
      </c>
      <c r="F94" s="1606"/>
      <c r="G94" s="1607"/>
    </row>
    <row r="95" spans="1:10" ht="20.25" customHeight="1">
      <c r="A95" s="1524" t="s">
        <v>446</v>
      </c>
      <c r="B95" s="1524"/>
      <c r="C95" s="1524"/>
      <c r="D95" s="1524"/>
      <c r="E95" s="1525"/>
      <c r="F95" s="1525"/>
      <c r="G95" s="1525"/>
      <c r="H95" s="676"/>
      <c r="I95" s="676"/>
    </row>
    <row r="96" spans="1:10" ht="32.25" customHeight="1" thickBot="1">
      <c r="A96" s="1526"/>
      <c r="B96" s="1526"/>
      <c r="C96" s="1526"/>
      <c r="D96" s="1526"/>
      <c r="E96" s="1526"/>
      <c r="F96" s="1526"/>
      <c r="G96" s="1526"/>
      <c r="H96" s="676"/>
      <c r="I96" s="676"/>
    </row>
    <row r="97" spans="1:8" ht="21.75" customHeight="1" thickBot="1">
      <c r="A97" s="1449" t="s">
        <v>374</v>
      </c>
      <c r="B97" s="1450"/>
      <c r="C97" s="1450"/>
      <c r="D97" s="1450"/>
      <c r="E97" s="1450"/>
      <c r="F97" s="1450"/>
      <c r="G97" s="1451"/>
      <c r="H97" s="677"/>
    </row>
    <row r="98" spans="1:8" ht="12.75" customHeight="1">
      <c r="A98" s="1508" t="s">
        <v>373</v>
      </c>
      <c r="B98" s="1511" t="s">
        <v>412</v>
      </c>
      <c r="C98" s="1512"/>
      <c r="D98" s="1513"/>
      <c r="E98" s="1527" t="s">
        <v>412</v>
      </c>
      <c r="F98" s="1528"/>
      <c r="G98" s="1529"/>
      <c r="H98" s="676"/>
    </row>
    <row r="99" spans="1:8" ht="21" customHeight="1">
      <c r="A99" s="1509"/>
      <c r="B99" s="1514">
        <v>40999</v>
      </c>
      <c r="C99" s="1515"/>
      <c r="D99" s="1516"/>
      <c r="E99" s="1530" t="str">
        <f>'Løntabel gældende fra'!$D$1</f>
        <v>01/04/2020</v>
      </c>
      <c r="F99" s="1531"/>
      <c r="G99" s="1532"/>
    </row>
    <row r="100" spans="1:8" ht="16.5" customHeight="1">
      <c r="A100" s="1509"/>
      <c r="B100" s="1517"/>
      <c r="C100" s="1518"/>
      <c r="D100" s="1519"/>
      <c r="E100" s="1533"/>
      <c r="F100" s="1534"/>
      <c r="G100" s="1535"/>
    </row>
    <row r="101" spans="1:8" ht="19.5" customHeight="1" thickBot="1">
      <c r="A101" s="1510"/>
      <c r="B101" s="1461" t="s">
        <v>413</v>
      </c>
      <c r="C101" s="1462"/>
      <c r="D101" s="754" t="s">
        <v>414</v>
      </c>
      <c r="E101" s="1462" t="s">
        <v>413</v>
      </c>
      <c r="F101" s="1462"/>
      <c r="G101" s="755" t="s">
        <v>414</v>
      </c>
    </row>
    <row r="102" spans="1:8" ht="14.25" customHeight="1">
      <c r="A102" s="763">
        <v>1</v>
      </c>
      <c r="B102" s="1463">
        <v>485345</v>
      </c>
      <c r="C102" s="1464"/>
      <c r="D102" s="752">
        <v>511173</v>
      </c>
      <c r="E102" s="1507">
        <f>ROUND(B102*(1+'Løntabel gældende fra'!$D$7/100),2)</f>
        <v>535450.07999999996</v>
      </c>
      <c r="F102" s="1507"/>
      <c r="G102" s="753">
        <f>ROUND(D102*(1+'Løntabel gældende fra'!$D$7/100),2)</f>
        <v>563944.46</v>
      </c>
    </row>
    <row r="103" spans="1:8" ht="17" thickBot="1">
      <c r="A103" s="751">
        <v>2</v>
      </c>
      <c r="B103" s="1522">
        <v>450909</v>
      </c>
      <c r="C103" s="1523"/>
      <c r="D103" s="750">
        <v>472431</v>
      </c>
      <c r="E103" s="1507">
        <f>ROUND(B103*(1+'Løntabel gældende fra'!$D$7/100),2)</f>
        <v>497459.04</v>
      </c>
      <c r="F103" s="1507"/>
      <c r="G103" s="753">
        <f>ROUND(D103*(1+'Løntabel gældende fra'!$D$7/100),2)</f>
        <v>521202.89</v>
      </c>
    </row>
    <row r="104" spans="1:8">
      <c r="A104" s="1587" t="s">
        <v>445</v>
      </c>
      <c r="B104" s="1587"/>
      <c r="C104" s="1587"/>
      <c r="D104" s="1587"/>
      <c r="E104" s="1587"/>
      <c r="F104" s="1587"/>
      <c r="G104" s="1587"/>
    </row>
    <row r="105" spans="1:8" ht="18" customHeight="1" thickBot="1">
      <c r="A105" s="27"/>
    </row>
    <row r="106" spans="1:8" ht="19" thickBot="1">
      <c r="A106" s="1456" t="s">
        <v>372</v>
      </c>
      <c r="B106" s="1457"/>
      <c r="C106" s="1457"/>
      <c r="D106" s="1457"/>
      <c r="E106" s="1457"/>
      <c r="F106" s="1457"/>
      <c r="G106" s="1458"/>
    </row>
    <row r="107" spans="1:8" ht="26.25" customHeight="1">
      <c r="A107" s="1485" t="s">
        <v>263</v>
      </c>
      <c r="B107" s="1459" t="s">
        <v>132</v>
      </c>
      <c r="C107" s="1452" t="s">
        <v>352</v>
      </c>
      <c r="D107" s="1412" t="s">
        <v>282</v>
      </c>
      <c r="E107" s="1452" t="s">
        <v>369</v>
      </c>
      <c r="F107" s="1452"/>
      <c r="G107" s="1626"/>
    </row>
    <row r="108" spans="1:8" ht="21.75" customHeight="1">
      <c r="A108" s="1486"/>
      <c r="B108" s="1460"/>
      <c r="C108" s="1453"/>
      <c r="D108" s="1413"/>
      <c r="E108" s="1453"/>
      <c r="F108" s="1453"/>
      <c r="G108" s="1627"/>
    </row>
    <row r="109" spans="1:8" ht="18" customHeight="1" thickBot="1">
      <c r="A109" s="1486"/>
      <c r="B109" s="757">
        <v>40999</v>
      </c>
      <c r="C109" s="749" t="str">
        <f>'Løntabel gældende fra'!$D$1</f>
        <v>01/04/2020</v>
      </c>
      <c r="D109" s="749" t="str">
        <f>C109</f>
        <v>01/04/2020</v>
      </c>
      <c r="E109" s="1628" t="s">
        <v>368</v>
      </c>
      <c r="F109" s="1628"/>
      <c r="G109" s="1629"/>
    </row>
    <row r="110" spans="1:8" ht="17.25" customHeight="1" thickBot="1">
      <c r="A110" s="1487"/>
      <c r="B110" s="756">
        <v>460000</v>
      </c>
      <c r="C110" s="747">
        <f>ROUND(B110*(1+'Løntabel gældende fra'!$D$7/100),2)</f>
        <v>507488.56</v>
      </c>
      <c r="D110" s="746">
        <f>ROUND(C110/12,2)</f>
        <v>42290.71</v>
      </c>
      <c r="E110" s="1414">
        <f>ROUND(D110*0.168,2)</f>
        <v>7104.84</v>
      </c>
      <c r="F110" s="1415"/>
      <c r="G110" s="1416"/>
    </row>
    <row r="111" spans="1:8" ht="17.25" customHeight="1" thickBot="1">
      <c r="A111" s="702"/>
      <c r="B111" s="690"/>
      <c r="C111" s="690"/>
      <c r="D111" s="690"/>
      <c r="E111" s="691"/>
      <c r="F111" s="691"/>
      <c r="G111" s="691"/>
    </row>
    <row r="112" spans="1:8" ht="17.25" customHeight="1">
      <c r="A112" s="1417" t="s">
        <v>371</v>
      </c>
      <c r="B112" s="1418"/>
      <c r="C112" s="1418"/>
      <c r="D112" s="1418"/>
      <c r="E112" s="1418"/>
      <c r="F112" s="1418"/>
      <c r="G112" s="1419"/>
    </row>
    <row r="113" spans="1:9" ht="19.5" customHeight="1" thickBot="1">
      <c r="A113" s="1401" t="s">
        <v>370</v>
      </c>
      <c r="B113" s="1402"/>
      <c r="C113" s="1402"/>
      <c r="D113" s="1402"/>
      <c r="E113" s="1402"/>
      <c r="F113" s="1402"/>
      <c r="G113" s="1403"/>
    </row>
    <row r="114" spans="1:9" ht="20.25" customHeight="1">
      <c r="A114" s="1404" t="s">
        <v>116</v>
      </c>
      <c r="B114" s="1406" t="s">
        <v>132</v>
      </c>
      <c r="C114" s="1408" t="s">
        <v>352</v>
      </c>
      <c r="D114" s="1410" t="s">
        <v>282</v>
      </c>
      <c r="E114" s="1452" t="s">
        <v>369</v>
      </c>
      <c r="F114" s="1452"/>
      <c r="G114" s="1626"/>
    </row>
    <row r="115" spans="1:9" ht="20.25" customHeight="1">
      <c r="A115" s="1405"/>
      <c r="B115" s="1407"/>
      <c r="C115" s="1409"/>
      <c r="D115" s="1411"/>
      <c r="E115" s="1453"/>
      <c r="F115" s="1453"/>
      <c r="G115" s="1627"/>
    </row>
    <row r="116" spans="1:9" ht="21" customHeight="1" thickBot="1">
      <c r="A116" s="762"/>
      <c r="B116" s="748">
        <v>40999</v>
      </c>
      <c r="C116" s="749" t="str">
        <f>'Løntabel gældende fra'!$D$1</f>
        <v>01/04/2020</v>
      </c>
      <c r="D116" s="749" t="str">
        <f>C116</f>
        <v>01/04/2020</v>
      </c>
      <c r="E116" s="1624" t="s">
        <v>368</v>
      </c>
      <c r="F116" s="1624"/>
      <c r="G116" s="1625"/>
    </row>
    <row r="117" spans="1:9" ht="19.5" customHeight="1">
      <c r="A117" s="760" t="s">
        <v>367</v>
      </c>
      <c r="B117" s="758">
        <v>131590</v>
      </c>
      <c r="C117" s="774">
        <f>ROUND(B117*(1+'Løntabel gældende fra'!$D$7/100),2)</f>
        <v>145174.82999999999</v>
      </c>
      <c r="D117" s="774">
        <f>ROUND(C117/12,2)</f>
        <v>12097.9</v>
      </c>
      <c r="E117" s="1615">
        <f>ROUND(D117*0.168,2)</f>
        <v>2032.45</v>
      </c>
      <c r="F117" s="1615"/>
      <c r="G117" s="1616"/>
    </row>
    <row r="118" spans="1:9" ht="15.75" customHeight="1" thickBot="1">
      <c r="A118" s="761" t="s">
        <v>366</v>
      </c>
      <c r="B118" s="759">
        <v>150988</v>
      </c>
      <c r="C118" s="773">
        <f>ROUND(B118*(1+'Løntabel gældende fra'!$D$7/100),2)</f>
        <v>166575.4</v>
      </c>
      <c r="D118" s="979">
        <f>ROUND(C118/12,2)</f>
        <v>13881.28</v>
      </c>
      <c r="E118" s="1615">
        <f>ROUND(D118*0.168,2)</f>
        <v>2332.06</v>
      </c>
      <c r="F118" s="1615"/>
      <c r="G118" s="1616"/>
    </row>
    <row r="119" spans="1:9">
      <c r="A119" s="778" t="s">
        <v>419</v>
      </c>
      <c r="B119" s="686"/>
      <c r="C119" s="686"/>
      <c r="D119" s="686"/>
      <c r="E119" s="686"/>
      <c r="F119" s="686"/>
      <c r="G119" s="686"/>
      <c r="H119" s="688"/>
      <c r="I119" s="688"/>
    </row>
    <row r="120" spans="1:9" ht="15" customHeight="1"/>
    <row r="121" spans="1:9" customFormat="1" ht="15"/>
    <row r="122" spans="1:9" customFormat="1" ht="16" customHeight="1"/>
    <row r="123" spans="1:9" customFormat="1" ht="14" customHeight="1"/>
    <row r="124" spans="1:9" customFormat="1" ht="32" customHeight="1"/>
    <row r="125" spans="1:9" customFormat="1" ht="15" customHeight="1"/>
    <row r="126" spans="1:9" customFormat="1" ht="16" customHeight="1"/>
    <row r="127" spans="1:9" customFormat="1" ht="16" customHeight="1"/>
  </sheetData>
  <sheetProtection sheet="1" objects="1" scenarios="1"/>
  <mergeCells count="153">
    <mergeCell ref="E117:G117"/>
    <mergeCell ref="E118:G118"/>
    <mergeCell ref="A28:B28"/>
    <mergeCell ref="F26:G27"/>
    <mergeCell ref="F28:G28"/>
    <mergeCell ref="F10:G10"/>
    <mergeCell ref="F8:G9"/>
    <mergeCell ref="E75:G75"/>
    <mergeCell ref="E73:G74"/>
    <mergeCell ref="E93:G93"/>
    <mergeCell ref="E91:G92"/>
    <mergeCell ref="E109:G109"/>
    <mergeCell ref="E107:G108"/>
    <mergeCell ref="E114:G115"/>
    <mergeCell ref="E116:G116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  <mergeCell ref="A1:G1"/>
    <mergeCell ref="A6:G6"/>
    <mergeCell ref="A7:G7"/>
    <mergeCell ref="A60:G60"/>
    <mergeCell ref="A104:G104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4:G94"/>
    <mergeCell ref="G61:G62"/>
    <mergeCell ref="C61:C63"/>
    <mergeCell ref="A61:B63"/>
    <mergeCell ref="A75:B75"/>
    <mergeCell ref="C75:D75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59:G59"/>
    <mergeCell ref="B103:C103"/>
    <mergeCell ref="A95:G96"/>
    <mergeCell ref="E98:G98"/>
    <mergeCell ref="E99:G100"/>
    <mergeCell ref="E101:F101"/>
    <mergeCell ref="A90:G90"/>
    <mergeCell ref="A91:A93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A89:G89"/>
    <mergeCell ref="A107:A110"/>
    <mergeCell ref="B91:B92"/>
    <mergeCell ref="C8:C9"/>
    <mergeCell ref="D8:D9"/>
    <mergeCell ref="E8:E9"/>
    <mergeCell ref="A65:B65"/>
    <mergeCell ref="E21:F21"/>
    <mergeCell ref="B22:C22"/>
    <mergeCell ref="A26:B27"/>
    <mergeCell ref="A64:B64"/>
    <mergeCell ref="C107:C108"/>
    <mergeCell ref="A86:G86"/>
    <mergeCell ref="A88:G88"/>
    <mergeCell ref="E102:F102"/>
    <mergeCell ref="E103:F103"/>
    <mergeCell ref="A98:A101"/>
    <mergeCell ref="B98:D98"/>
    <mergeCell ref="B99:D100"/>
    <mergeCell ref="A37:G37"/>
    <mergeCell ref="A34:B34"/>
    <mergeCell ref="A69:B69"/>
    <mergeCell ref="A68:B68"/>
    <mergeCell ref="A67:B67"/>
    <mergeCell ref="A66:B66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13:G113"/>
    <mergeCell ref="A114:A115"/>
    <mergeCell ref="B114:B115"/>
    <mergeCell ref="C114:C115"/>
    <mergeCell ref="D114:D115"/>
    <mergeCell ref="D107:D108"/>
    <mergeCell ref="E110:G110"/>
    <mergeCell ref="A71:G71"/>
    <mergeCell ref="A112:G112"/>
    <mergeCell ref="A79:G79"/>
    <mergeCell ref="A80:G80"/>
    <mergeCell ref="A81:D82"/>
    <mergeCell ref="A83:D83"/>
    <mergeCell ref="A84:D84"/>
    <mergeCell ref="E81:G82"/>
    <mergeCell ref="E83:G83"/>
    <mergeCell ref="E84:G84"/>
    <mergeCell ref="A97:G97"/>
    <mergeCell ref="C91:C92"/>
    <mergeCell ref="D91:D92"/>
    <mergeCell ref="A106:G106"/>
    <mergeCell ref="B107:B108"/>
    <mergeCell ref="B101:C101"/>
    <mergeCell ref="B102:C102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headerFooter>
    <oddFooter>&amp;CLøntabel for lærere, pædagogiske ledere og rektorer ved gymnasieskolen_x000D_&amp;RSide  &amp;P af i alt &amp;N</oddFooter>
  </headerFooter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7"/>
  <sheetViews>
    <sheetView view="pageBreakPreview" topLeftCell="A69" zoomScaleSheetLayoutView="100" workbookViewId="0">
      <selection activeCell="D77" sqref="D77"/>
    </sheetView>
  </sheetViews>
  <sheetFormatPr baseColWidth="10" defaultColWidth="8.83203125" defaultRowHeight="14"/>
  <cols>
    <col min="1" max="1" width="10" style="245" customWidth="1"/>
    <col min="2" max="8" width="17" style="245" customWidth="1"/>
    <col min="9" max="16384" width="8.83203125" style="245"/>
  </cols>
  <sheetData>
    <row r="1" spans="1:8" ht="20">
      <c r="A1" s="1230" t="s">
        <v>19</v>
      </c>
      <c r="B1" s="1231"/>
      <c r="C1" s="1231"/>
      <c r="D1" s="1231"/>
      <c r="E1" s="1231"/>
      <c r="F1" s="1231"/>
      <c r="G1" s="1231"/>
      <c r="H1" s="1232"/>
    </row>
    <row r="2" spans="1:8" ht="20">
      <c r="A2" s="1241" t="s">
        <v>169</v>
      </c>
      <c r="B2" s="1242"/>
      <c r="C2" s="1242"/>
      <c r="D2" s="1242"/>
      <c r="E2" s="1242"/>
      <c r="F2" s="1242"/>
      <c r="G2" s="1242"/>
      <c r="H2" s="1243"/>
    </row>
    <row r="3" spans="1:8" ht="21" thickBot="1">
      <c r="A3" s="1664" t="str">
        <f>'Forside 1'!A6:I6</f>
        <v>Gældende fra 1. april 2020</v>
      </c>
      <c r="B3" s="1665"/>
      <c r="C3" s="1665"/>
      <c r="D3" s="1665"/>
      <c r="E3" s="1665"/>
      <c r="F3" s="1665"/>
      <c r="G3" s="1665"/>
      <c r="H3" s="1666"/>
    </row>
    <row r="4" spans="1:8" s="556" customFormat="1" ht="18.75" customHeight="1" thickBot="1">
      <c r="A4" s="687"/>
      <c r="B4" s="687"/>
      <c r="C4" s="687"/>
      <c r="D4" s="687"/>
      <c r="E4" s="687"/>
      <c r="F4" s="687"/>
      <c r="G4" s="687"/>
      <c r="H4" s="687"/>
    </row>
    <row r="5" spans="1:8" ht="41.25" customHeight="1" thickBot="1">
      <c r="A5" s="1669" t="s">
        <v>313</v>
      </c>
      <c r="B5" s="1670"/>
      <c r="C5" s="1670"/>
      <c r="D5" s="1670"/>
      <c r="E5" s="1670"/>
      <c r="F5" s="1671"/>
      <c r="G5" s="1682" t="s">
        <v>94</v>
      </c>
      <c r="H5" s="1683"/>
    </row>
    <row r="6" spans="1:8" ht="26" customHeight="1" thickBot="1">
      <c r="A6" s="1679" t="s">
        <v>322</v>
      </c>
      <c r="B6" s="1680"/>
      <c r="C6" s="1680"/>
      <c r="D6" s="1680"/>
      <c r="E6" s="1680"/>
      <c r="F6" s="1680"/>
      <c r="G6" s="1680"/>
      <c r="H6" s="1681"/>
    </row>
    <row r="7" spans="1:8" ht="15">
      <c r="A7" s="777" t="s">
        <v>57</v>
      </c>
      <c r="B7" s="777" t="s">
        <v>76</v>
      </c>
      <c r="C7" s="777" t="s">
        <v>77</v>
      </c>
      <c r="D7" s="777" t="s">
        <v>78</v>
      </c>
      <c r="E7" s="777" t="s">
        <v>79</v>
      </c>
      <c r="F7" s="777" t="s">
        <v>80</v>
      </c>
      <c r="G7" s="777" t="s">
        <v>239</v>
      </c>
      <c r="H7" s="767">
        <v>0.14699999999999999</v>
      </c>
    </row>
    <row r="8" spans="1:8" ht="16">
      <c r="A8" s="614">
        <v>14</v>
      </c>
      <c r="B8" s="615">
        <f>+'Statens skalatrin'!D46</f>
        <v>20925.75</v>
      </c>
      <c r="C8" s="615">
        <f>+'Statens skalatrin'!F46</f>
        <v>21361.5</v>
      </c>
      <c r="D8" s="615">
        <f>+'Statens skalatrin'!H46</f>
        <v>21663.17</v>
      </c>
      <c r="E8" s="615">
        <f>+'Statens skalatrin'!J46</f>
        <v>22098.83</v>
      </c>
      <c r="F8" s="615">
        <f>+'Statens skalatrin'!L46</f>
        <v>22400.5</v>
      </c>
      <c r="G8" s="616">
        <f>+'Statens skalatrin'!O46</f>
        <v>19564.900000000001</v>
      </c>
      <c r="H8" s="616">
        <f>ROUND(G8*$H$7,2)</f>
        <v>2876.04</v>
      </c>
    </row>
    <row r="9" spans="1:8" ht="16">
      <c r="A9" s="614">
        <v>15</v>
      </c>
      <c r="B9" s="615">
        <f>+'Statens skalatrin'!D49</f>
        <v>21297</v>
      </c>
      <c r="C9" s="615">
        <f>+'Statens skalatrin'!F49</f>
        <v>21743.58</v>
      </c>
      <c r="D9" s="615">
        <f>+'Statens skalatrin'!H49</f>
        <v>22052.75</v>
      </c>
      <c r="E9" s="615">
        <f>+'Statens skalatrin'!J49</f>
        <v>22499.58</v>
      </c>
      <c r="F9" s="615">
        <f>+'Statens skalatrin'!L49</f>
        <v>22808.83</v>
      </c>
      <c r="G9" s="616">
        <f>+'Statens skalatrin'!O49</f>
        <v>19912.64</v>
      </c>
      <c r="H9" s="616">
        <f t="shared" ref="H9:H32" si="0">ROUND(G9*$H$7,2)</f>
        <v>2927.16</v>
      </c>
    </row>
    <row r="10" spans="1:8" ht="16">
      <c r="A10" s="614">
        <v>16</v>
      </c>
      <c r="B10" s="615">
        <f>'Statens skalatrin'!D52</f>
        <v>21581.42</v>
      </c>
      <c r="C10" s="615">
        <f>+'Statens skalatrin'!F52</f>
        <v>22039.42</v>
      </c>
      <c r="D10" s="615">
        <f>+'Statens skalatrin'!H52</f>
        <v>22356.58</v>
      </c>
      <c r="E10" s="615">
        <f>+'Statens skalatrin'!J52</f>
        <v>22814.58</v>
      </c>
      <c r="F10" s="615">
        <f>+'Statens skalatrin'!L52</f>
        <v>23131.75</v>
      </c>
      <c r="G10" s="616">
        <f>+'Statens skalatrin'!O52</f>
        <v>20270.169999999998</v>
      </c>
      <c r="H10" s="616">
        <f t="shared" si="0"/>
        <v>2979.71</v>
      </c>
    </row>
    <row r="11" spans="1:8" ht="16">
      <c r="A11" s="614">
        <v>17</v>
      </c>
      <c r="B11" s="615">
        <f>'Statens skalatrin'!D55</f>
        <v>21973.25</v>
      </c>
      <c r="C11" s="615">
        <f>+'Statens skalatrin'!F55</f>
        <v>22442.92</v>
      </c>
      <c r="D11" s="615">
        <f>+'Statens skalatrin'!H55</f>
        <v>22768.080000000002</v>
      </c>
      <c r="E11" s="615">
        <f>+'Statens skalatrin'!J55</f>
        <v>23237.75</v>
      </c>
      <c r="F11" s="615">
        <f>+'Statens skalatrin'!L55</f>
        <v>23562.75</v>
      </c>
      <c r="G11" s="616">
        <f>+'Statens skalatrin'!O55</f>
        <v>20637.32</v>
      </c>
      <c r="H11" s="616">
        <f t="shared" si="0"/>
        <v>3033.69</v>
      </c>
    </row>
    <row r="12" spans="1:8" ht="16">
      <c r="A12" s="614">
        <v>18</v>
      </c>
      <c r="B12" s="615">
        <f>'Statens skalatrin'!D58</f>
        <v>22376.080000000002</v>
      </c>
      <c r="C12" s="615">
        <f>+'Statens skalatrin'!F58</f>
        <v>22857.75</v>
      </c>
      <c r="D12" s="615">
        <f>+'Statens skalatrin'!H58</f>
        <v>23191.08</v>
      </c>
      <c r="E12" s="615">
        <f>+'Statens skalatrin'!J58</f>
        <v>23672.67</v>
      </c>
      <c r="F12" s="615">
        <f>+'Statens skalatrin'!L58</f>
        <v>24005.919999999998</v>
      </c>
      <c r="G12" s="616">
        <f>+'Statens skalatrin'!O58</f>
        <v>21014.76</v>
      </c>
      <c r="H12" s="616">
        <f t="shared" si="0"/>
        <v>3089.17</v>
      </c>
    </row>
    <row r="13" spans="1:8" ht="16">
      <c r="A13" s="614">
        <v>19</v>
      </c>
      <c r="B13" s="615">
        <f>'Statens skalatrin'!D61</f>
        <v>22676.75</v>
      </c>
      <c r="C13" s="615">
        <f>+'Statens skalatrin'!F61</f>
        <v>23170.58</v>
      </c>
      <c r="D13" s="615">
        <f>+'Statens skalatrin'!H61</f>
        <v>23512.33</v>
      </c>
      <c r="E13" s="615">
        <f>+'Statens skalatrin'!J61</f>
        <v>24006.33</v>
      </c>
      <c r="F13" s="615">
        <f>+'Statens skalatrin'!L61</f>
        <v>24348.33</v>
      </c>
      <c r="G13" s="616">
        <f>+'Statens skalatrin'!O61</f>
        <v>21402.49</v>
      </c>
      <c r="H13" s="616">
        <f t="shared" si="0"/>
        <v>3146.17</v>
      </c>
    </row>
    <row r="14" spans="1:8" ht="16">
      <c r="A14" s="614">
        <v>20</v>
      </c>
      <c r="B14" s="615">
        <f>+'Statens skalatrin'!D64</f>
        <v>22988.92</v>
      </c>
      <c r="C14" s="615">
        <f>+'Statens skalatrin'!F64</f>
        <v>23495.25</v>
      </c>
      <c r="D14" s="615">
        <f>+'Statens skalatrin'!H64</f>
        <v>23845.919999999998</v>
      </c>
      <c r="E14" s="615">
        <f>+'Statens skalatrin'!J64</f>
        <v>24352.25</v>
      </c>
      <c r="F14" s="615">
        <f>+'Statens skalatrin'!L64</f>
        <v>24702.75</v>
      </c>
      <c r="G14" s="616">
        <f>+'Statens skalatrin'!O64</f>
        <v>21800.83</v>
      </c>
      <c r="H14" s="616">
        <f t="shared" si="0"/>
        <v>3204.72</v>
      </c>
    </row>
    <row r="15" spans="1:8" ht="16">
      <c r="A15" s="614">
        <v>21</v>
      </c>
      <c r="B15" s="615">
        <f>+'Statens skalatrin'!D67</f>
        <v>23369.5</v>
      </c>
      <c r="C15" s="615">
        <f>+'Statens skalatrin'!F67</f>
        <v>23888.83</v>
      </c>
      <c r="D15" s="615">
        <f>+'Statens skalatrin'!H67</f>
        <v>24248.42</v>
      </c>
      <c r="E15" s="615">
        <f>+'Statens skalatrin'!J67</f>
        <v>24767.75</v>
      </c>
      <c r="F15" s="615">
        <f>+'Statens skalatrin'!L67</f>
        <v>25127.33</v>
      </c>
      <c r="G15" s="616">
        <f>+'Statens skalatrin'!O67</f>
        <v>22210.29</v>
      </c>
      <c r="H15" s="616">
        <f t="shared" si="0"/>
        <v>3264.91</v>
      </c>
    </row>
    <row r="16" spans="1:8" ht="16">
      <c r="A16" s="614">
        <v>22</v>
      </c>
      <c r="B16" s="615">
        <f>+'Statens skalatrin'!D70</f>
        <v>23722.080000000002</v>
      </c>
      <c r="C16" s="615">
        <f>+'Statens skalatrin'!F70</f>
        <v>24241.42</v>
      </c>
      <c r="D16" s="615">
        <f>+'Statens skalatrin'!H70</f>
        <v>24601</v>
      </c>
      <c r="E16" s="615">
        <f>+'Statens skalatrin'!J70</f>
        <v>25120.33</v>
      </c>
      <c r="F16" s="615">
        <f>+'Statens skalatrin'!L70</f>
        <v>25479.919999999998</v>
      </c>
      <c r="G16" s="616">
        <f>+'Statens skalatrin'!O70</f>
        <v>22619.4</v>
      </c>
      <c r="H16" s="616">
        <f t="shared" si="0"/>
        <v>3325.05</v>
      </c>
    </row>
    <row r="17" spans="1:8" ht="16">
      <c r="A17" s="614">
        <v>23</v>
      </c>
      <c r="B17" s="615">
        <f>+'Statens skalatrin'!D73</f>
        <v>24099.919999999998</v>
      </c>
      <c r="C17" s="615">
        <f>+'Statens skalatrin'!F73</f>
        <v>24604.83</v>
      </c>
      <c r="D17" s="615">
        <f>+'Statens skalatrin'!H73</f>
        <v>24954.67</v>
      </c>
      <c r="E17" s="615">
        <f>+'Statens skalatrin'!J73</f>
        <v>25459.75</v>
      </c>
      <c r="F17" s="615">
        <f>+'Statens skalatrin'!L73</f>
        <v>25809.25</v>
      </c>
      <c r="G17" s="616">
        <f>+'Statens skalatrin'!O73</f>
        <v>23027.53</v>
      </c>
      <c r="H17" s="616">
        <f t="shared" si="0"/>
        <v>3385.05</v>
      </c>
    </row>
    <row r="18" spans="1:8" ht="16">
      <c r="A18" s="614">
        <v>24</v>
      </c>
      <c r="B18" s="615">
        <f>+'Statens skalatrin'!D76</f>
        <v>24489.25</v>
      </c>
      <c r="C18" s="615">
        <f>+'Statens skalatrin'!F76</f>
        <v>24980</v>
      </c>
      <c r="D18" s="615">
        <f>+'Statens skalatrin'!H76</f>
        <v>25319.83</v>
      </c>
      <c r="E18" s="615">
        <f>+'Statens skalatrin'!J76</f>
        <v>25810.67</v>
      </c>
      <c r="F18" s="615">
        <f>+'Statens skalatrin'!L76</f>
        <v>26150.5</v>
      </c>
      <c r="G18" s="616">
        <f>+'Statens skalatrin'!O76</f>
        <v>23447.26</v>
      </c>
      <c r="H18" s="616">
        <f t="shared" si="0"/>
        <v>3446.75</v>
      </c>
    </row>
    <row r="19" spans="1:8" ht="16">
      <c r="A19" s="614">
        <v>25</v>
      </c>
      <c r="B19" s="615">
        <f>+'Statens skalatrin'!D79</f>
        <v>24887.25</v>
      </c>
      <c r="C19" s="615">
        <f>+'Statens skalatrin'!F79</f>
        <v>25362.75</v>
      </c>
      <c r="D19" s="615">
        <f>+'Statens skalatrin'!H79</f>
        <v>25692</v>
      </c>
      <c r="E19" s="615">
        <f>+'Statens skalatrin'!J79</f>
        <v>26167.5</v>
      </c>
      <c r="F19" s="615">
        <f>+'Statens skalatrin'!L79</f>
        <v>26496.58</v>
      </c>
      <c r="G19" s="616">
        <f>+'Statens skalatrin'!O79</f>
        <v>23877.86</v>
      </c>
      <c r="H19" s="616">
        <f t="shared" si="0"/>
        <v>3510.05</v>
      </c>
    </row>
    <row r="20" spans="1:8" ht="16">
      <c r="A20" s="614">
        <v>26</v>
      </c>
      <c r="B20" s="615">
        <f>+'Statens skalatrin'!D82</f>
        <v>25294.5</v>
      </c>
      <c r="C20" s="615">
        <f>+'Statens skalatrin'!F82</f>
        <v>25753.5</v>
      </c>
      <c r="D20" s="615">
        <f>+'Statens skalatrin'!H82</f>
        <v>26071.33</v>
      </c>
      <c r="E20" s="615">
        <f>+'Statens skalatrin'!J82</f>
        <v>26530.33</v>
      </c>
      <c r="F20" s="615">
        <f>+'Statens skalatrin'!L82</f>
        <v>26848.080000000002</v>
      </c>
      <c r="G20" s="616">
        <f>+'Statens skalatrin'!O82</f>
        <v>24319.79</v>
      </c>
      <c r="H20" s="616">
        <f t="shared" si="0"/>
        <v>3575.01</v>
      </c>
    </row>
    <row r="21" spans="1:8" ht="16">
      <c r="A21" s="614">
        <v>27</v>
      </c>
      <c r="B21" s="615">
        <f>+'Statens skalatrin'!D85</f>
        <v>25710.58</v>
      </c>
      <c r="C21" s="615">
        <f>+'Statens skalatrin'!F85</f>
        <v>26151.83</v>
      </c>
      <c r="D21" s="615">
        <f>+'Statens skalatrin'!H85</f>
        <v>26457.58</v>
      </c>
      <c r="E21" s="615">
        <f>+'Statens skalatrin'!J85</f>
        <v>26899</v>
      </c>
      <c r="F21" s="615">
        <f>+'Statens skalatrin'!L85</f>
        <v>27204.67</v>
      </c>
      <c r="G21" s="616">
        <f>+'Statens skalatrin'!O85</f>
        <v>24773.16</v>
      </c>
      <c r="H21" s="616">
        <f t="shared" si="0"/>
        <v>3641.65</v>
      </c>
    </row>
    <row r="22" spans="1:8" ht="16">
      <c r="A22" s="614">
        <v>28</v>
      </c>
      <c r="B22" s="615">
        <f>+'Statens skalatrin'!D88</f>
        <v>26135.919999999998</v>
      </c>
      <c r="C22" s="615">
        <f>+'Statens skalatrin'!F88</f>
        <v>26558.67</v>
      </c>
      <c r="D22" s="615">
        <f>+'Statens skalatrin'!H88</f>
        <v>26851.33</v>
      </c>
      <c r="E22" s="615">
        <f>+'Statens skalatrin'!J88</f>
        <v>27273.919999999998</v>
      </c>
      <c r="F22" s="615">
        <f>+'Statens skalatrin'!L88</f>
        <v>27566.67</v>
      </c>
      <c r="G22" s="616">
        <f>+'Statens skalatrin'!O88</f>
        <v>25238.57</v>
      </c>
      <c r="H22" s="616">
        <f t="shared" si="0"/>
        <v>3710.07</v>
      </c>
    </row>
    <row r="23" spans="1:8" ht="16">
      <c r="A23" s="614">
        <v>29</v>
      </c>
      <c r="B23" s="615">
        <f>+'Statens skalatrin'!D91</f>
        <v>26570.92</v>
      </c>
      <c r="C23" s="615">
        <f>+'Statens skalatrin'!F91</f>
        <v>26973.58</v>
      </c>
      <c r="D23" s="615">
        <f>+'Statens skalatrin'!H91</f>
        <v>27252.42</v>
      </c>
      <c r="E23" s="615">
        <f>+'Statens skalatrin'!J91</f>
        <v>27655.08</v>
      </c>
      <c r="F23" s="615">
        <f>+'Statens skalatrin'!L91</f>
        <v>27933.83</v>
      </c>
      <c r="G23" s="616">
        <f>+'Statens skalatrin'!O91</f>
        <v>25715.97</v>
      </c>
      <c r="H23" s="616">
        <f t="shared" si="0"/>
        <v>3780.25</v>
      </c>
    </row>
    <row r="24" spans="1:8" ht="16">
      <c r="A24" s="614">
        <v>30</v>
      </c>
      <c r="B24" s="615">
        <f>+'Statens skalatrin'!D94</f>
        <v>27015.75</v>
      </c>
      <c r="C24" s="615">
        <f>+'Statens skalatrin'!F94</f>
        <v>27397.08</v>
      </c>
      <c r="D24" s="615">
        <f>+'Statens skalatrin'!H94</f>
        <v>27661.08</v>
      </c>
      <c r="E24" s="615">
        <f>+'Statens skalatrin'!J94</f>
        <v>28042.25</v>
      </c>
      <c r="F24" s="615">
        <f>+'Statens skalatrin'!L94</f>
        <v>28306.25</v>
      </c>
      <c r="G24" s="616">
        <f>+'Statens skalatrin'!O94</f>
        <v>26205.97</v>
      </c>
      <c r="H24" s="616">
        <f t="shared" si="0"/>
        <v>3852.28</v>
      </c>
    </row>
    <row r="25" spans="1:8" ht="16">
      <c r="A25" s="614">
        <v>31</v>
      </c>
      <c r="B25" s="615">
        <f>+'Statens skalatrin'!D97</f>
        <v>27470.080000000002</v>
      </c>
      <c r="C25" s="615">
        <f>+'Statens skalatrin'!F97</f>
        <v>27828.75</v>
      </c>
      <c r="D25" s="615">
        <f>+'Statens skalatrin'!H97</f>
        <v>28077.17</v>
      </c>
      <c r="E25" s="615">
        <f>+'Statens skalatrin'!J97</f>
        <v>28435.83</v>
      </c>
      <c r="F25" s="615">
        <f>+'Statens skalatrin'!L97</f>
        <v>28684.17</v>
      </c>
      <c r="G25" s="616">
        <f>+'Statens skalatrin'!O97</f>
        <v>26708.67</v>
      </c>
      <c r="H25" s="616">
        <f t="shared" si="0"/>
        <v>3926.17</v>
      </c>
    </row>
    <row r="26" spans="1:8" ht="16">
      <c r="A26" s="614">
        <v>32</v>
      </c>
      <c r="B26" s="615">
        <f>+'Statens skalatrin'!D100</f>
        <v>27935</v>
      </c>
      <c r="C26" s="615">
        <f>+'Statens skalatrin'!F100</f>
        <v>28269.5</v>
      </c>
      <c r="D26" s="615">
        <f>+'Statens skalatrin'!H100</f>
        <v>28501.08</v>
      </c>
      <c r="E26" s="615">
        <f>+'Statens skalatrin'!J100</f>
        <v>28835.75</v>
      </c>
      <c r="F26" s="615">
        <f>+'Statens skalatrin'!L100</f>
        <v>29067.25</v>
      </c>
      <c r="G26" s="616">
        <f>+'Statens skalatrin'!O100</f>
        <v>27224.67</v>
      </c>
      <c r="H26" s="616">
        <f t="shared" si="0"/>
        <v>4002.03</v>
      </c>
    </row>
    <row r="27" spans="1:8" ht="16">
      <c r="A27" s="614">
        <v>33</v>
      </c>
      <c r="B27" s="615">
        <f>+'Statens skalatrin'!D103</f>
        <v>28409.83</v>
      </c>
      <c r="C27" s="615">
        <f>+'Statens skalatrin'!F103</f>
        <v>28718.58</v>
      </c>
      <c r="D27" s="615">
        <f>+'Statens skalatrin'!H103</f>
        <v>28932.67</v>
      </c>
      <c r="E27" s="615">
        <f>+'Statens skalatrin'!J103</f>
        <v>29241.58</v>
      </c>
      <c r="F27" s="615">
        <f>+'Statens skalatrin'!L103</f>
        <v>29455.5</v>
      </c>
      <c r="G27" s="616">
        <f>+'Statens skalatrin'!O103</f>
        <v>27753.91</v>
      </c>
      <c r="H27" s="616">
        <f t="shared" si="0"/>
        <v>4079.82</v>
      </c>
    </row>
    <row r="28" spans="1:8" ht="16">
      <c r="A28" s="614">
        <v>34</v>
      </c>
      <c r="B28" s="615">
        <f>+'Statens skalatrin'!D106</f>
        <v>28895.42</v>
      </c>
      <c r="C28" s="615">
        <f>+'Statens skalatrin'!F106</f>
        <v>29177.17</v>
      </c>
      <c r="D28" s="615">
        <f>+'Statens skalatrin'!H106</f>
        <v>29372.25</v>
      </c>
      <c r="E28" s="615">
        <f>+'Statens skalatrin'!J106</f>
        <v>29653.919999999998</v>
      </c>
      <c r="F28" s="615">
        <f>+'Statens skalatrin'!L106</f>
        <v>29849</v>
      </c>
      <c r="G28" s="616">
        <f>+'Statens skalatrin'!O106</f>
        <v>28297.14</v>
      </c>
      <c r="H28" s="616">
        <f t="shared" si="0"/>
        <v>4159.68</v>
      </c>
    </row>
    <row r="29" spans="1:8" ht="16">
      <c r="A29" s="614">
        <v>35</v>
      </c>
      <c r="B29" s="615">
        <f>+'Statens skalatrin'!D109</f>
        <v>29391.75</v>
      </c>
      <c r="C29" s="615">
        <f>+'Statens skalatrin'!F109</f>
        <v>29644.83</v>
      </c>
      <c r="D29" s="615">
        <f>+'Statens skalatrin'!H109</f>
        <v>29819.919999999998</v>
      </c>
      <c r="E29" s="615">
        <f>+'Statens skalatrin'!J109</f>
        <v>30073</v>
      </c>
      <c r="F29" s="615">
        <f>+'Statens skalatrin'!L109</f>
        <v>30248.080000000002</v>
      </c>
      <c r="G29" s="616">
        <f>+'Statens skalatrin'!O109</f>
        <v>28854.639999999999</v>
      </c>
      <c r="H29" s="616">
        <f t="shared" si="0"/>
        <v>4241.63</v>
      </c>
    </row>
    <row r="30" spans="1:8" ht="16">
      <c r="A30" s="614">
        <v>36</v>
      </c>
      <c r="B30" s="615">
        <f>'Statens skalatrin'!D112</f>
        <v>29899</v>
      </c>
      <c r="C30" s="615">
        <f>+'Statens skalatrin'!F112</f>
        <v>30121.5</v>
      </c>
      <c r="D30" s="615">
        <f>+'Statens skalatrin'!H112</f>
        <v>30275.58</v>
      </c>
      <c r="E30" s="615">
        <f>+'Statens skalatrin'!J112</f>
        <v>30498.17</v>
      </c>
      <c r="F30" s="615">
        <f>+'Statens skalatrin'!L112</f>
        <v>30652.17</v>
      </c>
      <c r="G30" s="616">
        <f>+'Statens skalatrin'!O112</f>
        <v>29426.49</v>
      </c>
      <c r="H30" s="616">
        <f t="shared" si="0"/>
        <v>4325.6899999999996</v>
      </c>
    </row>
    <row r="31" spans="1:8" ht="16">
      <c r="A31" s="614">
        <v>37</v>
      </c>
      <c r="B31" s="615">
        <f>+'Statens skalatrin'!D115</f>
        <v>30417.42</v>
      </c>
      <c r="C31" s="615">
        <f>+'Statens skalatrin'!F115</f>
        <v>30607.75</v>
      </c>
      <c r="D31" s="615">
        <f>+'Statens skalatrin'!H115</f>
        <v>30739.33</v>
      </c>
      <c r="E31" s="615">
        <f>+'Statens skalatrin'!J115</f>
        <v>30929.67</v>
      </c>
      <c r="F31" s="615">
        <f>+'Statens skalatrin'!L115</f>
        <v>31061.5</v>
      </c>
      <c r="G31" s="616">
        <f>+'Statens skalatrin'!O115</f>
        <v>30013.29</v>
      </c>
      <c r="H31" s="616">
        <f t="shared" si="0"/>
        <v>4411.95</v>
      </c>
    </row>
    <row r="32" spans="1:8" ht="17" thickBot="1">
      <c r="A32" s="715">
        <v>38</v>
      </c>
      <c r="B32" s="716">
        <f>+'Statens skalatrin'!D118</f>
        <v>30964.92</v>
      </c>
      <c r="C32" s="716">
        <f>+'Statens skalatrin'!F118</f>
        <v>31124.17</v>
      </c>
      <c r="D32" s="716">
        <f>+'Statens skalatrin'!H118</f>
        <v>31234.33</v>
      </c>
      <c r="E32" s="716">
        <f>+'Statens skalatrin'!J118</f>
        <v>31393.58</v>
      </c>
      <c r="F32" s="716">
        <f>+'Statens skalatrin'!L118</f>
        <v>31504</v>
      </c>
      <c r="G32" s="717">
        <f>+'Statens skalatrin'!O118</f>
        <v>30626.65</v>
      </c>
      <c r="H32" s="616">
        <f t="shared" si="0"/>
        <v>4502.12</v>
      </c>
    </row>
    <row r="33" spans="1:8" s="556" customFormat="1" ht="19" thickBot="1">
      <c r="A33" s="1677" t="s">
        <v>438</v>
      </c>
      <c r="B33" s="1678"/>
      <c r="C33" s="1678"/>
      <c r="D33" s="714" t="s">
        <v>437</v>
      </c>
      <c r="E33" s="712"/>
      <c r="F33" s="713"/>
      <c r="G33" s="1667" t="s">
        <v>436</v>
      </c>
      <c r="H33" s="1668"/>
    </row>
    <row r="34" spans="1:8" ht="26" customHeight="1" thickBot="1">
      <c r="A34" s="1672" t="s">
        <v>322</v>
      </c>
      <c r="B34" s="1673"/>
      <c r="C34" s="1673"/>
      <c r="D34" s="1673"/>
      <c r="E34" s="1673"/>
      <c r="F34" s="1673"/>
      <c r="G34" s="1673"/>
      <c r="H34" s="1674"/>
    </row>
    <row r="35" spans="1:8" ht="26" customHeight="1" thickBot="1">
      <c r="A35" s="558" t="s">
        <v>57</v>
      </c>
      <c r="B35" s="558" t="s">
        <v>76</v>
      </c>
      <c r="C35" s="558" t="s">
        <v>77</v>
      </c>
      <c r="D35" s="558" t="s">
        <v>78</v>
      </c>
      <c r="E35" s="558" t="s">
        <v>79</v>
      </c>
      <c r="F35" s="558" t="s">
        <v>80</v>
      </c>
      <c r="G35" s="558" t="s">
        <v>239</v>
      </c>
      <c r="H35" s="776">
        <v>0.16200000000000001</v>
      </c>
    </row>
    <row r="36" spans="1:8" ht="16.5" customHeight="1">
      <c r="A36" s="685">
        <v>40</v>
      </c>
      <c r="B36" s="617">
        <f>'Statens skalatrin'!D124</f>
        <v>32082.67</v>
      </c>
      <c r="C36" s="617">
        <f>+'Statens skalatrin'!F124</f>
        <v>32166.5</v>
      </c>
      <c r="D36" s="617">
        <f>+'Statens skalatrin'!H124</f>
        <v>32224.58</v>
      </c>
      <c r="E36" s="617">
        <f>+'Statens skalatrin'!J124</f>
        <v>32308.42</v>
      </c>
      <c r="F36" s="617">
        <f>+'Statens skalatrin'!L124</f>
        <v>32366.58</v>
      </c>
      <c r="G36" s="617">
        <f>+'Statens skalatrin'!O124</f>
        <v>31904.43</v>
      </c>
      <c r="H36" s="618">
        <f>ROUND(G36*$H$35,2)</f>
        <v>5168.5200000000004</v>
      </c>
    </row>
    <row r="37" spans="1:8" ht="16">
      <c r="A37" s="614">
        <v>42</v>
      </c>
      <c r="B37" s="615">
        <f>'Statens skalatrin'!D130</f>
        <v>33249.67</v>
      </c>
      <c r="C37" s="615">
        <f>+'Statens skalatrin'!F130</f>
        <v>33249.67</v>
      </c>
      <c r="D37" s="615">
        <f>+'Statens skalatrin'!H130</f>
        <v>33249.67</v>
      </c>
      <c r="E37" s="615">
        <f>+'Statens skalatrin'!J130</f>
        <v>33249.67</v>
      </c>
      <c r="F37" s="615">
        <f>+'Statens skalatrin'!L130</f>
        <v>33249.67</v>
      </c>
      <c r="G37" s="615">
        <f>+'Statens skalatrin'!O130</f>
        <v>33249.620000000003</v>
      </c>
      <c r="H37" s="618">
        <f t="shared" ref="H37:H39" si="1">ROUND(G37*$H$35,2)</f>
        <v>5386.44</v>
      </c>
    </row>
    <row r="38" spans="1:8" ht="16">
      <c r="A38" s="614">
        <v>44</v>
      </c>
      <c r="B38" s="615">
        <f>'Statens skalatrin'!D136</f>
        <v>34746.17</v>
      </c>
      <c r="C38" s="615">
        <f>+'Statens skalatrin'!F136</f>
        <v>34746.17</v>
      </c>
      <c r="D38" s="615">
        <f>+'Statens skalatrin'!H136</f>
        <v>34746.17</v>
      </c>
      <c r="E38" s="615">
        <f>+'Statens skalatrin'!J136</f>
        <v>34746.17</v>
      </c>
      <c r="F38" s="615">
        <f>+'Statens skalatrin'!L136</f>
        <v>34746.17</v>
      </c>
      <c r="G38" s="615">
        <f>+'Statens skalatrin'!O136</f>
        <v>34746.17</v>
      </c>
      <c r="H38" s="618">
        <f t="shared" si="1"/>
        <v>5628.88</v>
      </c>
    </row>
    <row r="39" spans="1:8" ht="17" thickBot="1">
      <c r="A39" s="619">
        <v>48</v>
      </c>
      <c r="B39" s="775">
        <f>'Statens skalatrin'!D148</f>
        <v>40546.42</v>
      </c>
      <c r="C39" s="775">
        <f>+'Statens skalatrin'!F148</f>
        <v>40546.42</v>
      </c>
      <c r="D39" s="775">
        <f>+'Statens skalatrin'!H148</f>
        <v>40546.42</v>
      </c>
      <c r="E39" s="775">
        <f>+'Statens skalatrin'!J148</f>
        <v>40546.42</v>
      </c>
      <c r="F39" s="775">
        <f>+'Statens skalatrin'!L148</f>
        <v>40546.42</v>
      </c>
      <c r="G39" s="775">
        <f>+'Statens skalatrin'!O148</f>
        <v>40546.29</v>
      </c>
      <c r="H39" s="618">
        <f t="shared" si="1"/>
        <v>6568.5</v>
      </c>
    </row>
    <row r="40" spans="1:8">
      <c r="A40" s="703"/>
      <c r="B40" s="703"/>
      <c r="C40" s="703"/>
      <c r="D40" s="703"/>
      <c r="E40" s="703"/>
      <c r="F40" s="703"/>
      <c r="G40" s="703"/>
      <c r="H40" s="703"/>
    </row>
    <row r="41" spans="1:8" s="556" customFormat="1" ht="15" thickBot="1"/>
    <row r="42" spans="1:8" s="556" customFormat="1" ht="16">
      <c r="A42" s="1651" t="s">
        <v>498</v>
      </c>
      <c r="B42" s="1652"/>
      <c r="C42" s="1652"/>
      <c r="D42" s="1652"/>
      <c r="E42" s="1652"/>
      <c r="F42" s="1652"/>
      <c r="G42" s="1652"/>
      <c r="H42" s="1653"/>
    </row>
    <row r="43" spans="1:8" ht="26" customHeight="1" thickBot="1">
      <c r="A43" s="1221" t="s">
        <v>323</v>
      </c>
      <c r="B43" s="1222"/>
      <c r="C43" s="1222"/>
      <c r="D43" s="1222"/>
      <c r="E43" s="1222"/>
      <c r="F43" s="1222"/>
      <c r="G43" s="1222"/>
      <c r="H43" s="1223"/>
    </row>
    <row r="44" spans="1:8" ht="26" customHeight="1">
      <c r="A44" s="1699" t="s">
        <v>499</v>
      </c>
      <c r="B44" s="1700"/>
      <c r="C44" s="1701"/>
      <c r="D44" s="1640" t="s">
        <v>132</v>
      </c>
      <c r="E44" s="1641"/>
      <c r="F44" s="1640" t="s">
        <v>352</v>
      </c>
      <c r="G44" s="1641"/>
      <c r="H44" s="726" t="s">
        <v>282</v>
      </c>
    </row>
    <row r="45" spans="1:8" ht="15.75" customHeight="1" thickBot="1">
      <c r="A45" s="1702"/>
      <c r="B45" s="1656"/>
      <c r="C45" s="1703"/>
      <c r="D45" s="1642">
        <v>40999</v>
      </c>
      <c r="E45" s="1643"/>
      <c r="F45" s="1642" t="str">
        <f>'Løntabel gældende fra'!D1</f>
        <v>01/04/2020</v>
      </c>
      <c r="G45" s="1643"/>
      <c r="H45" s="603" t="str">
        <f>'Løntabel gældende fra'!$D$1</f>
        <v>01/04/2020</v>
      </c>
    </row>
    <row r="46" spans="1:8" ht="15" customHeight="1" thickBot="1">
      <c r="A46" s="1704"/>
      <c r="B46" s="1705"/>
      <c r="C46" s="1706"/>
      <c r="D46" s="1647">
        <v>2500</v>
      </c>
      <c r="E46" s="1648"/>
      <c r="F46" s="1649">
        <f>ROUND(+D46*(1+'Løntabel gældende fra'!$D$7/100),2)</f>
        <v>2758.09</v>
      </c>
      <c r="G46" s="1650">
        <f>+E46*(1+'Løntabel gældende fra'!$D$7/100)</f>
        <v>0</v>
      </c>
      <c r="H46" s="727">
        <f>ROUND(F46/12,2)</f>
        <v>229.84</v>
      </c>
    </row>
    <row r="47" spans="1:8" ht="31.5" customHeight="1" thickBot="1">
      <c r="A47" s="248"/>
      <c r="B47" s="249"/>
      <c r="C47" s="249"/>
      <c r="D47" s="249"/>
      <c r="E47" s="249"/>
      <c r="F47" s="249"/>
    </row>
    <row r="48" spans="1:8" ht="16">
      <c r="A48" s="1651" t="s">
        <v>230</v>
      </c>
      <c r="B48" s="1652"/>
      <c r="C48" s="1652"/>
      <c r="D48" s="1652"/>
      <c r="E48" s="1652"/>
      <c r="F48" s="1652"/>
      <c r="G48" s="1652"/>
      <c r="H48" s="1653"/>
    </row>
    <row r="49" spans="1:8" ht="20" customHeight="1" thickBot="1">
      <c r="A49" s="1221" t="s">
        <v>360</v>
      </c>
      <c r="B49" s="1222"/>
      <c r="C49" s="1222"/>
      <c r="D49" s="1222"/>
      <c r="E49" s="1222"/>
      <c r="F49" s="1222"/>
      <c r="G49" s="1222"/>
      <c r="H49" s="1223"/>
    </row>
    <row r="50" spans="1:8" ht="34.5" customHeight="1">
      <c r="A50" s="1699" t="s">
        <v>330</v>
      </c>
      <c r="B50" s="1700"/>
      <c r="C50" s="1700"/>
      <c r="D50" s="1700"/>
      <c r="E50" s="1700"/>
      <c r="F50" s="1701"/>
      <c r="G50" s="704" t="s">
        <v>102</v>
      </c>
      <c r="H50" s="707" t="s">
        <v>282</v>
      </c>
    </row>
    <row r="51" spans="1:8" ht="21" customHeight="1" thickBot="1">
      <c r="A51" s="1704"/>
      <c r="B51" s="1705"/>
      <c r="C51" s="1705"/>
      <c r="D51" s="1705"/>
      <c r="E51" s="1705"/>
      <c r="F51" s="1706"/>
      <c r="G51" s="603">
        <v>40999</v>
      </c>
      <c r="H51" s="620" t="str">
        <f>'Løntabel gældende fra'!$D$1</f>
        <v>01/04/2020</v>
      </c>
    </row>
    <row r="52" spans="1:8" ht="21" customHeight="1">
      <c r="A52" s="1707" t="s">
        <v>328</v>
      </c>
      <c r="B52" s="1708"/>
      <c r="C52" s="1708"/>
      <c r="D52" s="1708"/>
      <c r="E52" s="1708"/>
      <c r="F52" s="1709"/>
      <c r="G52" s="599">
        <v>540</v>
      </c>
      <c r="H52" s="621">
        <f>ROUND(G52+G52*'Løntabel gældende fra'!$D$7%,2)</f>
        <v>595.75</v>
      </c>
    </row>
    <row r="53" spans="1:8" ht="20" customHeight="1" thickBot="1">
      <c r="A53" s="1710" t="s">
        <v>329</v>
      </c>
      <c r="B53" s="1711"/>
      <c r="C53" s="1711"/>
      <c r="D53" s="1711"/>
      <c r="E53" s="1711"/>
      <c r="F53" s="1712"/>
      <c r="G53" s="601">
        <v>666.67</v>
      </c>
      <c r="H53" s="622">
        <f>ROUND(G53+G53*'Løntabel gældende fra'!$D$7%,2)</f>
        <v>735.49</v>
      </c>
    </row>
    <row r="54" spans="1:8" ht="20" customHeight="1" thickBot="1">
      <c r="A54" s="279"/>
      <c r="B54" s="279"/>
      <c r="C54" s="279"/>
      <c r="D54" s="279"/>
      <c r="E54" s="279"/>
      <c r="F54" s="266"/>
      <c r="G54" s="266"/>
      <c r="H54" s="718"/>
    </row>
    <row r="55" spans="1:8" s="556" customFormat="1" ht="27" customHeight="1">
      <c r="A55" s="1651" t="s">
        <v>320</v>
      </c>
      <c r="B55" s="1652"/>
      <c r="C55" s="1652"/>
      <c r="D55" s="1652"/>
      <c r="E55" s="1652"/>
      <c r="F55" s="1652"/>
      <c r="G55" s="1652"/>
      <c r="H55" s="1653"/>
    </row>
    <row r="56" spans="1:8" ht="20" customHeight="1" thickBot="1">
      <c r="A56" s="1221" t="s">
        <v>318</v>
      </c>
      <c r="B56" s="1222"/>
      <c r="C56" s="1222"/>
      <c r="D56" s="1222"/>
      <c r="E56" s="1222"/>
      <c r="F56" s="1222"/>
      <c r="G56" s="1222"/>
      <c r="H56" s="1223"/>
    </row>
    <row r="57" spans="1:8" ht="20" customHeight="1">
      <c r="A57" s="723"/>
      <c r="B57" s="724"/>
      <c r="C57" s="724"/>
      <c r="D57" s="724"/>
      <c r="E57" s="724"/>
      <c r="F57" s="724"/>
      <c r="G57" s="726" t="s">
        <v>99</v>
      </c>
      <c r="H57" s="725" t="s">
        <v>104</v>
      </c>
    </row>
    <row r="58" spans="1:8" ht="15" customHeight="1" thickBot="1">
      <c r="A58" s="721"/>
      <c r="B58" s="722"/>
      <c r="C58" s="722"/>
      <c r="D58" s="722"/>
      <c r="E58" s="722"/>
      <c r="F58" s="722"/>
      <c r="G58" s="603">
        <v>40999</v>
      </c>
      <c r="H58" s="620" t="str">
        <f>'Løntabel gældende fra'!$D$1</f>
        <v>01/04/2020</v>
      </c>
    </row>
    <row r="59" spans="1:8" ht="16.5" customHeight="1">
      <c r="A59" s="1713" t="s">
        <v>449</v>
      </c>
      <c r="B59" s="1714"/>
      <c r="C59" s="1714"/>
      <c r="D59" s="1714"/>
      <c r="E59" s="1714"/>
      <c r="F59" s="1656" t="s">
        <v>167</v>
      </c>
      <c r="G59" s="1684">
        <v>39.92</v>
      </c>
      <c r="H59" s="1675">
        <f>ROUND(G59+G59*'Løntabel gældende fra'!$D$7%,2)</f>
        <v>44.04</v>
      </c>
    </row>
    <row r="60" spans="1:8" ht="16" customHeight="1">
      <c r="A60" s="1715"/>
      <c r="B60" s="1716"/>
      <c r="C60" s="1716"/>
      <c r="D60" s="1716"/>
      <c r="E60" s="1716"/>
      <c r="F60" s="1657"/>
      <c r="G60" s="1685"/>
      <c r="H60" s="1676"/>
    </row>
    <row r="61" spans="1:8" ht="16" customHeight="1">
      <c r="A61" s="1654" t="s">
        <v>244</v>
      </c>
      <c r="B61" s="1655"/>
      <c r="C61" s="1655"/>
      <c r="D61" s="1655"/>
      <c r="E61" s="1655"/>
      <c r="F61" s="710" t="s">
        <v>167</v>
      </c>
      <c r="G61" s="602">
        <v>39.92</v>
      </c>
      <c r="H61" s="623">
        <f>ROUND(G61+G61*'Løntabel gældende fra'!$D$7%,2)</f>
        <v>44.04</v>
      </c>
    </row>
    <row r="62" spans="1:8" s="247" customFormat="1" ht="15.75" customHeight="1">
      <c r="A62" s="1654" t="s">
        <v>225</v>
      </c>
      <c r="B62" s="1655"/>
      <c r="C62" s="1655"/>
      <c r="D62" s="1655"/>
      <c r="E62" s="1655"/>
      <c r="F62" s="710" t="s">
        <v>167</v>
      </c>
      <c r="G62" s="602">
        <v>22.32</v>
      </c>
      <c r="H62" s="623">
        <f>ROUND(G62+G62*'Løntabel gældende fra'!$D$7%,2)</f>
        <v>24.62</v>
      </c>
    </row>
    <row r="63" spans="1:8" s="247" customFormat="1" ht="16">
      <c r="A63" s="1717" t="s">
        <v>166</v>
      </c>
      <c r="B63" s="1718"/>
      <c r="C63" s="1718"/>
      <c r="D63" s="1718"/>
      <c r="E63" s="1718"/>
      <c r="F63" s="719" t="s">
        <v>167</v>
      </c>
      <c r="G63" s="602">
        <v>39.92</v>
      </c>
      <c r="H63" s="623">
        <f>ROUND(G63+G63*'Løntabel gældende fra'!$D$7%,2)</f>
        <v>44.04</v>
      </c>
    </row>
    <row r="64" spans="1:8" ht="16">
      <c r="A64" s="1717" t="s">
        <v>439</v>
      </c>
      <c r="B64" s="1718"/>
      <c r="C64" s="1718"/>
      <c r="D64" s="1718"/>
      <c r="E64" s="1718"/>
      <c r="F64" s="719" t="s">
        <v>168</v>
      </c>
      <c r="G64" s="602">
        <v>39.92</v>
      </c>
      <c r="H64" s="623">
        <f>ROUND(G64+G64*'Løntabel gældende fra'!$D$7%,2)</f>
        <v>44.04</v>
      </c>
    </row>
    <row r="65" spans="1:8" ht="16">
      <c r="A65" s="1717" t="s">
        <v>440</v>
      </c>
      <c r="B65" s="1718"/>
      <c r="C65" s="1718"/>
      <c r="D65" s="1718"/>
      <c r="E65" s="1718"/>
      <c r="F65" s="719" t="s">
        <v>168</v>
      </c>
      <c r="G65" s="602">
        <v>91.84</v>
      </c>
      <c r="H65" s="623">
        <f>ROUND(G65+G65*'Løntabel gældende fra'!$D$7%,2)</f>
        <v>101.32</v>
      </c>
    </row>
    <row r="66" spans="1:8" ht="17" thickBot="1">
      <c r="A66" s="1719" t="s">
        <v>441</v>
      </c>
      <c r="B66" s="1720"/>
      <c r="C66" s="1720"/>
      <c r="D66" s="1720"/>
      <c r="E66" s="1720"/>
      <c r="F66" s="720" t="s">
        <v>167</v>
      </c>
      <c r="G66" s="601">
        <v>27.81</v>
      </c>
      <c r="H66" s="622">
        <f>ROUND(G66+G66*'Løntabel gældende fra'!$D$7%,2)</f>
        <v>30.68</v>
      </c>
    </row>
    <row r="67" spans="1:8" ht="15" thickBot="1">
      <c r="A67" s="279"/>
      <c r="B67" s="279"/>
      <c r="C67" s="279"/>
      <c r="D67" s="279"/>
      <c r="E67" s="279"/>
      <c r="F67" s="266"/>
      <c r="G67" s="266"/>
    </row>
    <row r="68" spans="1:8" s="556" customFormat="1" ht="27" customHeight="1" thickBot="1">
      <c r="A68" s="1644" t="s">
        <v>501</v>
      </c>
      <c r="B68" s="1645"/>
      <c r="C68" s="1645"/>
      <c r="D68" s="1645"/>
      <c r="E68" s="1645"/>
      <c r="F68" s="1645"/>
      <c r="G68" s="1646"/>
      <c r="H68" s="245"/>
    </row>
    <row r="69" spans="1:8" ht="16">
      <c r="A69" s="1658" t="s">
        <v>164</v>
      </c>
      <c r="B69" s="1659"/>
      <c r="C69" s="1660"/>
      <c r="D69" s="1652" t="s">
        <v>353</v>
      </c>
      <c r="E69" s="1652"/>
      <c r="F69" s="1651" t="s">
        <v>354</v>
      </c>
      <c r="G69" s="1653"/>
    </row>
    <row r="70" spans="1:8" ht="13" customHeight="1" thickBot="1">
      <c r="A70" s="1661"/>
      <c r="B70" s="1662"/>
      <c r="C70" s="1663"/>
      <c r="D70" s="1691">
        <v>40999</v>
      </c>
      <c r="E70" s="1692"/>
      <c r="F70" s="1688" t="str">
        <f>'Løntabel gældende fra'!$D$1</f>
        <v>01/04/2020</v>
      </c>
      <c r="G70" s="1689"/>
    </row>
    <row r="71" spans="1:8" ht="15" customHeight="1">
      <c r="A71" s="1634" t="s">
        <v>502</v>
      </c>
      <c r="B71" s="1635"/>
      <c r="C71" s="1636"/>
      <c r="D71" s="1637">
        <v>137</v>
      </c>
      <c r="E71" s="1638"/>
      <c r="F71" s="1639">
        <f>ROUND(+D71*(1+'Løntabel gældende fra'!$D$7/100),2)</f>
        <v>151.13999999999999</v>
      </c>
      <c r="G71" s="1638"/>
    </row>
    <row r="72" spans="1:8" ht="17" thickBot="1">
      <c r="A72" s="1693" t="s">
        <v>255</v>
      </c>
      <c r="B72" s="1694"/>
      <c r="C72" s="1695"/>
      <c r="D72" s="1696">
        <v>183</v>
      </c>
      <c r="E72" s="1697"/>
      <c r="F72" s="1686">
        <f>ROUND(+D72*(1+'Løntabel gældende fra'!$D$7/100),2)</f>
        <v>201.89</v>
      </c>
      <c r="G72" s="1687"/>
    </row>
    <row r="73" spans="1:8" ht="15" thickBot="1">
      <c r="A73" s="43"/>
      <c r="B73" s="43"/>
      <c r="C73" s="43"/>
      <c r="D73" s="236"/>
      <c r="E73" s="236"/>
      <c r="F73" s="236"/>
      <c r="G73" s="236"/>
    </row>
    <row r="74" spans="1:8" ht="17" thickBot="1">
      <c r="A74" s="1690" t="str">
        <f>"Unge under 18 år, pr. arbejdstime (60 minutter) pr. "&amp;'Løntabel gældende fra'!D1&amp;""</f>
        <v>Unge under 18 år, pr. arbejdstime (60 minutter) pr. 01/04/2020</v>
      </c>
      <c r="B74" s="1064"/>
      <c r="C74" s="1064"/>
      <c r="D74" s="1064"/>
      <c r="E74" s="1064"/>
      <c r="F74" s="1065"/>
    </row>
    <row r="75" spans="1:8" ht="19" customHeight="1" thickBot="1">
      <c r="A75" s="624" t="s">
        <v>159</v>
      </c>
      <c r="B75" s="625" t="s">
        <v>76</v>
      </c>
      <c r="C75" s="625" t="s">
        <v>77</v>
      </c>
      <c r="D75" s="625" t="s">
        <v>78</v>
      </c>
      <c r="E75" s="625" t="s">
        <v>79</v>
      </c>
      <c r="F75" s="626" t="s">
        <v>80</v>
      </c>
    </row>
    <row r="76" spans="1:8" ht="17">
      <c r="A76" s="685" t="s">
        <v>160</v>
      </c>
      <c r="B76" s="627">
        <f>0.66*B10/160.33</f>
        <v>88.840124742718132</v>
      </c>
      <c r="C76" s="628">
        <f>0.66*C10/160.33</f>
        <v>90.725486184743957</v>
      </c>
      <c r="D76" s="628">
        <f>0.66*D10/160.33</f>
        <v>92.031078400798364</v>
      </c>
      <c r="E76" s="628">
        <f>0.66*E10/160.33</f>
        <v>93.916439842824175</v>
      </c>
      <c r="F76" s="629">
        <f>0.66*F10/160.33</f>
        <v>95.222073223975542</v>
      </c>
    </row>
    <row r="77" spans="1:8" ht="17" thickBot="1">
      <c r="A77" s="619" t="s">
        <v>161</v>
      </c>
      <c r="B77" s="630">
        <f>0.74*B10/160.33</f>
        <v>99.608624711532443</v>
      </c>
      <c r="C77" s="631">
        <f>0.74*C10/160.33</f>
        <v>101.72251481319776</v>
      </c>
      <c r="D77" s="631">
        <f>0.74*D10/160.33</f>
        <v>103.18636063119816</v>
      </c>
      <c r="E77" s="631">
        <f>0.74*E10/160.33</f>
        <v>105.30025073286347</v>
      </c>
      <c r="F77" s="632">
        <f>0.74*F10/160.33</f>
        <v>106.76414270566954</v>
      </c>
    </row>
    <row r="78" spans="1:8" ht="15" thickBot="1">
      <c r="A78" s="248"/>
      <c r="B78" s="249"/>
      <c r="C78" s="249"/>
      <c r="D78" s="249"/>
      <c r="E78" s="249"/>
      <c r="F78" s="249"/>
    </row>
    <row r="79" spans="1:8" ht="16.5" customHeight="1" thickBot="1">
      <c r="A79" s="1644" t="s">
        <v>162</v>
      </c>
      <c r="B79" s="1645"/>
      <c r="C79" s="1645"/>
      <c r="D79" s="1645"/>
      <c r="E79" s="1645"/>
      <c r="F79" s="1645"/>
      <c r="G79" s="1646"/>
    </row>
    <row r="80" spans="1:8" ht="18.75" customHeight="1">
      <c r="A80" s="1658" t="s">
        <v>163</v>
      </c>
      <c r="B80" s="1659"/>
      <c r="C80" s="1660"/>
      <c r="D80" s="1651" t="s">
        <v>102</v>
      </c>
      <c r="E80" s="1653"/>
      <c r="F80" s="1651" t="s">
        <v>282</v>
      </c>
      <c r="G80" s="1653"/>
    </row>
    <row r="81" spans="1:8" ht="17" thickBot="1">
      <c r="A81" s="1661"/>
      <c r="B81" s="1662"/>
      <c r="C81" s="1663"/>
      <c r="D81" s="1688">
        <v>40999</v>
      </c>
      <c r="E81" s="1698"/>
      <c r="F81" s="1688" t="str">
        <f>'Løntabel gældende fra'!$D$1</f>
        <v>01/04/2020</v>
      </c>
      <c r="G81" s="1689"/>
    </row>
    <row r="82" spans="1:8" ht="16">
      <c r="A82" s="1634" t="s">
        <v>307</v>
      </c>
      <c r="B82" s="1635"/>
      <c r="C82" s="1636"/>
      <c r="D82" s="1637">
        <v>10339</v>
      </c>
      <c r="E82" s="1638"/>
      <c r="F82" s="1639">
        <f>ROUND(+D82*(1+'Løntabel gældende fra'!$D$7/100),2)</f>
        <v>11406.36</v>
      </c>
      <c r="G82" s="1638">
        <f>+E82*(1+'Løntabel gældende fra'!$D$7/100)</f>
        <v>0</v>
      </c>
    </row>
    <row r="83" spans="1:8" ht="17" thickBot="1">
      <c r="A83" s="1693" t="s">
        <v>308</v>
      </c>
      <c r="B83" s="1694"/>
      <c r="C83" s="1695"/>
      <c r="D83" s="1696">
        <v>10674</v>
      </c>
      <c r="E83" s="1697"/>
      <c r="F83" s="1686">
        <f>ROUND(+D83*(1+'Løntabel gældende fra'!$D$7/100),2)</f>
        <v>11775.94</v>
      </c>
      <c r="G83" s="1687">
        <f>+E83*(1+'Løntabel gældende fra'!$D$7/100)</f>
        <v>0</v>
      </c>
    </row>
    <row r="84" spans="1:8" ht="16">
      <c r="A84" s="633"/>
      <c r="B84" s="634"/>
      <c r="C84" s="634"/>
      <c r="D84" s="634"/>
      <c r="E84" s="634"/>
      <c r="F84" s="634"/>
      <c r="G84" s="635"/>
      <c r="H84" s="246"/>
    </row>
    <row r="85" spans="1:8">
      <c r="F85" s="246"/>
    </row>
    <row r="86" spans="1:8">
      <c r="A86" s="255"/>
      <c r="B86" s="255"/>
      <c r="C86" s="255"/>
      <c r="H86" s="247"/>
    </row>
    <row r="87" spans="1:8">
      <c r="A87" s="247"/>
      <c r="B87" s="247"/>
      <c r="C87" s="247"/>
      <c r="D87" s="247"/>
      <c r="E87" s="247"/>
      <c r="F87" s="247"/>
      <c r="G87" s="247"/>
    </row>
  </sheetData>
  <sheetProtection sheet="1" objects="1" scenarios="1"/>
  <mergeCells count="60"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A34:H34"/>
    <mergeCell ref="H59:H60"/>
    <mergeCell ref="A33:C33"/>
    <mergeCell ref="A6:H6"/>
    <mergeCell ref="G5:H5"/>
    <mergeCell ref="A42:H42"/>
    <mergeCell ref="A43:H43"/>
    <mergeCell ref="G59:G60"/>
    <mergeCell ref="A1:H1"/>
    <mergeCell ref="A2:H2"/>
    <mergeCell ref="A3:H3"/>
    <mergeCell ref="G33:H33"/>
    <mergeCell ref="A5:F5"/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/>
  <cols>
    <col min="1" max="1" width="9" style="225" customWidth="1"/>
    <col min="2" max="3" width="11.1640625" style="225" customWidth="1"/>
    <col min="4" max="4" width="11.33203125" style="225" customWidth="1"/>
    <col min="5" max="6" width="10.6640625" style="225" customWidth="1"/>
    <col min="7" max="7" width="10.1640625" style="225" customWidth="1"/>
    <col min="8" max="8" width="10.83203125" style="225" customWidth="1"/>
    <col min="9" max="9" width="11.1640625" style="225" customWidth="1"/>
    <col min="10" max="10" width="9.1640625" style="225" customWidth="1"/>
    <col min="11" max="16384" width="8.83203125" style="225"/>
  </cols>
  <sheetData>
    <row r="1" spans="1:16" ht="20">
      <c r="A1" s="1230" t="s">
        <v>19</v>
      </c>
      <c r="B1" s="1231"/>
      <c r="C1" s="1231"/>
      <c r="D1" s="1231"/>
      <c r="E1" s="1231"/>
      <c r="F1" s="1231"/>
      <c r="G1" s="1231"/>
      <c r="H1" s="1231"/>
      <c r="I1" s="1231"/>
      <c r="J1" s="1232"/>
    </row>
    <row r="2" spans="1:16" ht="20">
      <c r="A2" s="1730" t="s">
        <v>192</v>
      </c>
      <c r="B2" s="1731"/>
      <c r="C2" s="1731"/>
      <c r="D2" s="1731"/>
      <c r="E2" s="1731"/>
      <c r="F2" s="1731"/>
      <c r="G2" s="1731"/>
      <c r="H2" s="1731"/>
      <c r="I2" s="1731"/>
      <c r="J2" s="1732"/>
    </row>
    <row r="3" spans="1:16" ht="21" thickBot="1">
      <c r="A3" s="1664" t="s">
        <v>227</v>
      </c>
      <c r="B3" s="1665"/>
      <c r="C3" s="1665"/>
      <c r="D3" s="1665"/>
      <c r="E3" s="1665"/>
      <c r="F3" s="1665"/>
      <c r="G3" s="1665"/>
      <c r="H3" s="1665"/>
      <c r="I3" s="1665"/>
      <c r="J3" s="1666"/>
    </row>
    <row r="4" spans="1:16" ht="23">
      <c r="A4" s="1739"/>
      <c r="B4" s="1740"/>
      <c r="C4" s="1740"/>
      <c r="D4" s="1740"/>
      <c r="E4" s="1740"/>
      <c r="F4" s="1740"/>
      <c r="G4" s="1740"/>
      <c r="H4" s="1740"/>
      <c r="I4" s="1740"/>
      <c r="J4" s="245"/>
    </row>
    <row r="5" spans="1:16" ht="47.25" customHeight="1">
      <c r="A5" s="1039" t="s">
        <v>246</v>
      </c>
      <c r="B5" s="1040"/>
      <c r="C5" s="1040"/>
      <c r="D5" s="1040"/>
      <c r="E5" s="1040"/>
      <c r="F5" s="1040"/>
      <c r="G5" s="1040"/>
      <c r="H5" s="1040"/>
      <c r="I5" s="1040"/>
      <c r="J5" s="245"/>
    </row>
    <row r="6" spans="1:16" ht="8" customHeight="1">
      <c r="A6" s="269"/>
      <c r="B6" s="269"/>
      <c r="C6" s="269"/>
      <c r="D6" s="269"/>
      <c r="E6" s="269"/>
      <c r="F6" s="269"/>
      <c r="G6" s="269"/>
      <c r="H6" s="269"/>
      <c r="I6" s="269"/>
      <c r="J6" s="245"/>
      <c r="L6" s="256"/>
      <c r="M6" s="255"/>
      <c r="N6" s="255"/>
      <c r="O6" s="255"/>
      <c r="P6" s="255"/>
    </row>
    <row r="7" spans="1:16" ht="18" customHeight="1" thickBot="1">
      <c r="A7" s="269"/>
      <c r="B7" s="269"/>
      <c r="C7" s="269"/>
      <c r="D7" s="269"/>
      <c r="E7" s="269"/>
      <c r="F7" s="269"/>
      <c r="G7" s="269"/>
      <c r="H7" s="269"/>
      <c r="I7" s="269"/>
      <c r="J7" s="245"/>
      <c r="L7" s="256"/>
      <c r="M7" s="255"/>
      <c r="N7" s="255"/>
      <c r="O7" s="255"/>
      <c r="P7" s="255"/>
    </row>
    <row r="8" spans="1:16" ht="19" thickBot="1">
      <c r="A8" s="1736" t="s">
        <v>15</v>
      </c>
      <c r="B8" s="1737"/>
      <c r="C8" s="1737"/>
      <c r="D8" s="1737"/>
      <c r="E8" s="1737"/>
      <c r="F8" s="1738"/>
      <c r="G8" s="1733" t="s">
        <v>170</v>
      </c>
      <c r="H8" s="1734"/>
      <c r="I8" s="1734"/>
      <c r="J8" s="1735"/>
      <c r="L8" s="256"/>
      <c r="M8" s="255"/>
      <c r="N8" s="255"/>
      <c r="O8" s="255"/>
      <c r="P8" s="255"/>
    </row>
    <row r="9" spans="1:16" ht="42">
      <c r="A9" s="477" t="s">
        <v>57</v>
      </c>
      <c r="B9" s="477" t="s">
        <v>76</v>
      </c>
      <c r="C9" s="480" t="s">
        <v>77</v>
      </c>
      <c r="D9" s="477" t="s">
        <v>78</v>
      </c>
      <c r="E9" s="477" t="s">
        <v>79</v>
      </c>
      <c r="F9" s="477" t="s">
        <v>80</v>
      </c>
      <c r="G9" s="481" t="s">
        <v>187</v>
      </c>
      <c r="H9" s="482" t="s">
        <v>189</v>
      </c>
      <c r="I9" s="482" t="s">
        <v>190</v>
      </c>
      <c r="J9" s="483">
        <v>0.14000000000000001</v>
      </c>
    </row>
    <row r="10" spans="1:16" ht="15" customHeight="1">
      <c r="A10" s="390" t="s">
        <v>234</v>
      </c>
      <c r="B10" s="296">
        <f>+'Statens skalatrin'!D46+F24/12</f>
        <v>21105.669404333334</v>
      </c>
      <c r="C10" s="297">
        <f>+'Statens skalatrin'!F46+F24/12</f>
        <v>21541.419404333334</v>
      </c>
      <c r="D10" s="298">
        <f>+'Statens skalatrin'!H46+F24/12</f>
        <v>21843.089404333332</v>
      </c>
      <c r="E10" s="296">
        <f>+'Statens skalatrin'!J46+F24/12</f>
        <v>22278.749404333335</v>
      </c>
      <c r="F10" s="296">
        <f>+'Statens skalatrin'!L46+F24/12</f>
        <v>22580.419404333334</v>
      </c>
      <c r="G10" s="299">
        <f>+'Statens skalatrin'!O46+F24/12</f>
        <v>19744.819404333335</v>
      </c>
      <c r="H10" s="300">
        <f>J10*1/3</f>
        <v>921.42490553555569</v>
      </c>
      <c r="I10" s="301">
        <f>J10*2/3</f>
        <v>1842.8498110711114</v>
      </c>
      <c r="J10" s="301">
        <f>G10*$J$9</f>
        <v>2764.274716606667</v>
      </c>
    </row>
    <row r="11" spans="1:16" ht="15" customHeight="1">
      <c r="A11" s="308">
        <v>17</v>
      </c>
      <c r="B11" s="296">
        <f>+'Statens skalatrin'!D55</f>
        <v>21973.25</v>
      </c>
      <c r="C11" s="297">
        <f>+'Statens skalatrin'!F55</f>
        <v>22442.92</v>
      </c>
      <c r="D11" s="298">
        <f>+'Statens skalatrin'!H55</f>
        <v>22768.080000000002</v>
      </c>
      <c r="E11" s="296">
        <f>'Statens skalatrin'!J55</f>
        <v>23237.75</v>
      </c>
      <c r="F11" s="296">
        <f>+'Statens skalatrin'!L55</f>
        <v>23562.75</v>
      </c>
      <c r="G11" s="299">
        <f>+'Statens skalatrin'!O55</f>
        <v>20637.32</v>
      </c>
      <c r="H11" s="300">
        <f>J11*1/3</f>
        <v>963.07493333333343</v>
      </c>
      <c r="I11" s="301">
        <f>J11*2/3</f>
        <v>1926.1498666666669</v>
      </c>
      <c r="J11" s="301">
        <f>G11*$J$9</f>
        <v>2889.2248000000004</v>
      </c>
    </row>
    <row r="12" spans="1:16" ht="17" customHeight="1" thickBot="1">
      <c r="A12" s="309" t="s">
        <v>171</v>
      </c>
      <c r="B12" s="302">
        <f>+'Statens skalatrin'!D64+F25/12</f>
        <v>23039.852728666665</v>
      </c>
      <c r="C12" s="303">
        <f>+'Statens skalatrin'!F64+F25/12</f>
        <v>23546.182728666667</v>
      </c>
      <c r="D12" s="304">
        <f>+'Statens skalatrin'!H64+F25/12</f>
        <v>23896.852728666665</v>
      </c>
      <c r="E12" s="302">
        <f>+'Statens skalatrin'!J64+F25/12</f>
        <v>24403.182728666667</v>
      </c>
      <c r="F12" s="302">
        <f>+'Statens skalatrin'!L64+F25/12</f>
        <v>24753.682728666667</v>
      </c>
      <c r="G12" s="305">
        <f>+'Statens skalatrin'!O64+F25/12</f>
        <v>21851.762728666668</v>
      </c>
      <c r="H12" s="306">
        <f>J12*1/3</f>
        <v>1019.7489273377779</v>
      </c>
      <c r="I12" s="307">
        <f>J12*2/3</f>
        <v>2039.4978546755558</v>
      </c>
      <c r="J12" s="307">
        <f>G12*$J$9</f>
        <v>3059.2467820133338</v>
      </c>
    </row>
    <row r="13" spans="1:16" ht="17" customHeight="1">
      <c r="A13" s="255" t="s">
        <v>247</v>
      </c>
      <c r="B13" s="249"/>
      <c r="C13" s="249"/>
      <c r="D13" s="249"/>
      <c r="E13" s="249"/>
      <c r="F13" s="249"/>
      <c r="G13" s="273"/>
      <c r="H13" s="274"/>
      <c r="I13" s="275"/>
      <c r="J13" s="275"/>
    </row>
    <row r="14" spans="1:16" ht="16" customHeight="1" thickBot="1">
      <c r="A14" s="270"/>
      <c r="B14" s="270"/>
      <c r="C14" s="270"/>
      <c r="D14" s="270"/>
      <c r="E14" s="270"/>
      <c r="F14" s="270"/>
      <c r="G14" s="270"/>
      <c r="H14" s="270"/>
      <c r="I14" s="270"/>
      <c r="J14" s="245"/>
      <c r="L14" s="272"/>
    </row>
    <row r="15" spans="1:16" ht="16" customHeight="1" thickBot="1">
      <c r="A15" s="1733" t="s">
        <v>172</v>
      </c>
      <c r="B15" s="1734"/>
      <c r="C15" s="1734"/>
      <c r="D15" s="1734"/>
      <c r="E15" s="1734"/>
      <c r="F15" s="1735"/>
      <c r="G15" s="255"/>
      <c r="H15" s="255"/>
      <c r="I15" s="255"/>
      <c r="J15" s="245"/>
      <c r="L15" s="272"/>
    </row>
    <row r="16" spans="1:16" ht="16" customHeight="1" thickBot="1">
      <c r="A16" s="259" t="s">
        <v>173</v>
      </c>
      <c r="B16" s="260"/>
      <c r="C16" s="260"/>
      <c r="D16" s="260"/>
      <c r="E16" s="260"/>
      <c r="F16" s="261"/>
      <c r="G16" s="255"/>
      <c r="H16" s="255"/>
      <c r="I16" s="255"/>
      <c r="J16" s="245"/>
      <c r="L16" s="272"/>
    </row>
    <row r="17" spans="1:10" ht="16" customHeight="1">
      <c r="A17" s="477" t="s">
        <v>57</v>
      </c>
      <c r="B17" s="478" t="s">
        <v>76</v>
      </c>
      <c r="C17" s="477" t="s">
        <v>77</v>
      </c>
      <c r="D17" s="478" t="s">
        <v>78</v>
      </c>
      <c r="E17" s="477" t="s">
        <v>79</v>
      </c>
      <c r="F17" s="479" t="s">
        <v>80</v>
      </c>
      <c r="G17" s="255"/>
      <c r="H17" s="255"/>
      <c r="I17" s="255"/>
      <c r="J17" s="245"/>
    </row>
    <row r="18" spans="1:10" ht="16" customHeight="1" thickBot="1">
      <c r="A18" s="313">
        <v>14</v>
      </c>
      <c r="B18" s="310">
        <f>B10*12/1924</f>
        <v>131.63619171101871</v>
      </c>
      <c r="C18" s="311">
        <f>C10*12/1924</f>
        <v>134.35396717879419</v>
      </c>
      <c r="D18" s="310">
        <f>D10*12/1924</f>
        <v>136.23548485031185</v>
      </c>
      <c r="E18" s="311">
        <f>E10*12/1924</f>
        <v>138.95269898752602</v>
      </c>
      <c r="F18" s="312">
        <f>F10*12/1924</f>
        <v>140.83421665904365</v>
      </c>
      <c r="G18" s="255"/>
      <c r="H18" s="254"/>
      <c r="I18" s="254"/>
      <c r="J18" s="245"/>
    </row>
    <row r="19" spans="1:10" ht="15" customHeight="1">
      <c r="A19" s="264"/>
      <c r="B19" s="263"/>
      <c r="C19" s="263"/>
      <c r="D19" s="263"/>
      <c r="E19" s="263"/>
      <c r="F19" s="263"/>
      <c r="G19" s="255"/>
      <c r="H19" s="254"/>
      <c r="I19" s="254"/>
      <c r="J19" s="245"/>
    </row>
    <row r="20" spans="1:10" ht="13" customHeight="1" thickBot="1">
      <c r="A20" s="264"/>
      <c r="B20" s="263"/>
      <c r="C20" s="263"/>
      <c r="D20" s="263"/>
      <c r="E20" s="263"/>
      <c r="F20" s="263"/>
      <c r="G20" s="255"/>
      <c r="H20" s="254"/>
      <c r="I20" s="254"/>
      <c r="J20" s="245"/>
    </row>
    <row r="21" spans="1:10" ht="15" customHeight="1" thickBot="1">
      <c r="A21" s="1140" t="s">
        <v>165</v>
      </c>
      <c r="B21" s="1141"/>
      <c r="C21" s="1141"/>
      <c r="D21" s="1141"/>
      <c r="E21" s="1141"/>
      <c r="F21" s="1142"/>
      <c r="G21" s="219"/>
      <c r="H21" s="219"/>
      <c r="I21" s="219"/>
      <c r="J21" s="245"/>
    </row>
    <row r="22" spans="1:10" ht="15" customHeight="1">
      <c r="A22" s="1741" t="s">
        <v>184</v>
      </c>
      <c r="B22" s="1742"/>
      <c r="C22" s="1742"/>
      <c r="D22" s="1742"/>
      <c r="E22" s="471" t="s">
        <v>99</v>
      </c>
      <c r="F22" s="475" t="s">
        <v>104</v>
      </c>
      <c r="G22" s="266"/>
      <c r="H22" s="255"/>
      <c r="I22" s="255"/>
      <c r="J22" s="245"/>
    </row>
    <row r="23" spans="1:10" ht="15" customHeight="1" thickBot="1">
      <c r="A23" s="1743"/>
      <c r="B23" s="1744"/>
      <c r="C23" s="1744"/>
      <c r="D23" s="1744"/>
      <c r="E23" s="473">
        <v>40999</v>
      </c>
      <c r="F23" s="476" t="str">
        <f>'Løntabel gældende fra'!$D$1</f>
        <v>01/04/2020</v>
      </c>
      <c r="G23" s="266"/>
      <c r="H23" s="255"/>
      <c r="I23" s="255"/>
      <c r="J23" s="245"/>
    </row>
    <row r="24" spans="1:10" ht="15" customHeight="1" thickBot="1">
      <c r="A24" s="1747" t="s">
        <v>233</v>
      </c>
      <c r="B24" s="1748"/>
      <c r="C24" s="1748"/>
      <c r="D24" s="451"/>
      <c r="E24" s="322">
        <v>1957</v>
      </c>
      <c r="F24" s="314">
        <f>E24+E24*'Løntabel gældende fra'!$D$7%</f>
        <v>2159.0328519999998</v>
      </c>
      <c r="G24" s="266"/>
      <c r="H24" s="255"/>
      <c r="I24" s="255"/>
      <c r="J24" s="245"/>
    </row>
    <row r="25" spans="1:10" ht="15" customHeight="1" thickBot="1">
      <c r="A25" s="1745" t="s">
        <v>185</v>
      </c>
      <c r="B25" s="1746"/>
      <c r="C25" s="1746"/>
      <c r="D25" s="452"/>
      <c r="E25" s="322">
        <v>554</v>
      </c>
      <c r="F25" s="314">
        <f>E25+E25*'Løntabel gældende fra'!$D$7%</f>
        <v>611.19274399999995</v>
      </c>
      <c r="G25" s="266"/>
      <c r="H25" s="255"/>
      <c r="I25" s="255"/>
      <c r="J25" s="245"/>
    </row>
    <row r="26" spans="1:10" ht="15" customHeight="1">
      <c r="A26" s="265"/>
      <c r="B26" s="263"/>
      <c r="C26" s="263"/>
      <c r="D26" s="263"/>
      <c r="E26" s="263"/>
      <c r="F26" s="263"/>
      <c r="G26" s="255"/>
      <c r="H26" s="255"/>
      <c r="I26" s="255"/>
      <c r="J26" s="245"/>
    </row>
    <row r="27" spans="1:10" ht="15" customHeight="1" thickBot="1">
      <c r="A27" s="265"/>
      <c r="B27" s="263"/>
      <c r="C27" s="263"/>
      <c r="D27" s="263"/>
      <c r="E27" s="263"/>
      <c r="F27" s="263"/>
      <c r="G27" s="255"/>
      <c r="H27" s="255"/>
      <c r="I27" s="255"/>
      <c r="J27" s="245"/>
    </row>
    <row r="28" spans="1:10" ht="15" customHeight="1" thickBot="1">
      <c r="A28" s="1140" t="s">
        <v>174</v>
      </c>
      <c r="B28" s="1141"/>
      <c r="C28" s="1141"/>
      <c r="D28" s="1141"/>
      <c r="E28" s="1141"/>
      <c r="F28" s="1141"/>
      <c r="G28" s="1141"/>
      <c r="H28" s="1141"/>
      <c r="I28" s="1142"/>
      <c r="J28" s="245"/>
    </row>
    <row r="29" spans="1:10" ht="15" customHeight="1" thickBot="1">
      <c r="A29" s="1721"/>
      <c r="B29" s="1722"/>
      <c r="C29" s="1722"/>
      <c r="D29" s="1722"/>
      <c r="E29" s="1722"/>
      <c r="F29" s="1722"/>
      <c r="G29" s="1722"/>
      <c r="H29" s="471" t="s">
        <v>99</v>
      </c>
      <c r="I29" s="472" t="s">
        <v>104</v>
      </c>
      <c r="J29" s="245"/>
    </row>
    <row r="30" spans="1:10" ht="15" customHeight="1" thickBot="1">
      <c r="A30" s="1723"/>
      <c r="B30" s="1724"/>
      <c r="C30" s="1724"/>
      <c r="D30" s="1724"/>
      <c r="E30" s="1724"/>
      <c r="F30" s="1724"/>
      <c r="G30" s="1725"/>
      <c r="H30" s="473">
        <v>40999</v>
      </c>
      <c r="I30" s="474" t="str">
        <f>'Løntabel gældende fra'!$D$1</f>
        <v>01/04/2020</v>
      </c>
      <c r="J30" s="245"/>
    </row>
    <row r="31" spans="1:10" ht="15" customHeight="1">
      <c r="A31" s="1726" t="s">
        <v>175</v>
      </c>
      <c r="B31" s="1727"/>
      <c r="C31" s="1727"/>
      <c r="D31" s="1727"/>
      <c r="E31" s="1727"/>
      <c r="F31" s="250"/>
      <c r="G31" s="252" t="s">
        <v>167</v>
      </c>
      <c r="H31" s="315">
        <v>22.32</v>
      </c>
      <c r="I31" s="316">
        <f>H31+H31*'Løntabel gældende fra'!$D$7%</f>
        <v>24.624227520000002</v>
      </c>
      <c r="J31" s="245"/>
    </row>
    <row r="32" spans="1:10" ht="15" customHeight="1">
      <c r="A32" s="1728" t="s">
        <v>176</v>
      </c>
      <c r="B32" s="1729"/>
      <c r="C32" s="1729"/>
      <c r="D32" s="1729"/>
      <c r="E32" s="1729"/>
      <c r="F32" s="271"/>
      <c r="G32" s="253" t="s">
        <v>167</v>
      </c>
      <c r="H32" s="317">
        <v>39.921999999999997</v>
      </c>
      <c r="I32" s="318">
        <f>H32+H32*'Løntabel gældende fra'!$D$7%</f>
        <v>44.043387591999995</v>
      </c>
      <c r="J32" s="245"/>
    </row>
    <row r="33" spans="1:10" ht="26" customHeight="1">
      <c r="A33" s="1726" t="s">
        <v>177</v>
      </c>
      <c r="B33" s="1727"/>
      <c r="C33" s="1727"/>
      <c r="D33" s="1727"/>
      <c r="E33" s="1727"/>
      <c r="F33" s="1727"/>
      <c r="G33" s="253" t="s">
        <v>167</v>
      </c>
      <c r="H33" s="317">
        <v>39.92</v>
      </c>
      <c r="I33" s="318">
        <f>H33+H33*'Løntabel gældende fra'!$D$7%</f>
        <v>44.041181120000005</v>
      </c>
      <c r="J33" s="245"/>
    </row>
    <row r="34" spans="1:10" ht="15" customHeight="1" thickBot="1">
      <c r="A34" s="284" t="s">
        <v>166</v>
      </c>
      <c r="B34" s="283"/>
      <c r="C34" s="283"/>
      <c r="D34" s="283"/>
      <c r="E34" s="267"/>
      <c r="F34" s="267"/>
      <c r="G34" s="278" t="s">
        <v>167</v>
      </c>
      <c r="H34" s="319">
        <v>39.921999999999997</v>
      </c>
      <c r="I34" s="320">
        <f>H34+H34*'Løntabel gældende fra'!$D$7%</f>
        <v>44.043387591999995</v>
      </c>
      <c r="J34" s="245"/>
    </row>
    <row r="35" spans="1:10" ht="15" customHeight="1">
      <c r="A35" s="277"/>
      <c r="B35" s="277"/>
      <c r="C35" s="277"/>
      <c r="D35" s="277"/>
      <c r="E35" s="277"/>
      <c r="F35" s="277"/>
      <c r="G35" s="277"/>
      <c r="H35" s="236"/>
      <c r="I35" s="276"/>
      <c r="J35" s="245"/>
    </row>
    <row r="36" spans="1:10" ht="15" customHeight="1" thickBot="1">
      <c r="A36" s="277"/>
      <c r="B36" s="277"/>
      <c r="C36" s="277"/>
      <c r="D36" s="277"/>
      <c r="E36" s="277"/>
      <c r="F36" s="277"/>
      <c r="G36" s="277"/>
      <c r="H36" s="236"/>
      <c r="I36" s="276"/>
      <c r="J36" s="245"/>
    </row>
    <row r="37" spans="1:10" ht="15" customHeight="1" thickBot="1">
      <c r="A37" s="1140" t="s">
        <v>178</v>
      </c>
      <c r="B37" s="1141"/>
      <c r="C37" s="1141"/>
      <c r="D37" s="1141"/>
      <c r="E37" s="1141"/>
      <c r="F37" s="1141"/>
      <c r="G37" s="1141"/>
      <c r="H37" s="1141"/>
      <c r="I37" s="1142"/>
      <c r="J37" s="255"/>
    </row>
    <row r="38" spans="1:10" ht="15" customHeight="1" thickBot="1">
      <c r="A38" s="1721"/>
      <c r="B38" s="1722"/>
      <c r="C38" s="1722"/>
      <c r="D38" s="1722"/>
      <c r="E38" s="1722"/>
      <c r="F38" s="1722"/>
      <c r="G38" s="1722"/>
      <c r="H38" s="471" t="s">
        <v>99</v>
      </c>
      <c r="I38" s="472" t="s">
        <v>104</v>
      </c>
      <c r="J38" s="255"/>
    </row>
    <row r="39" spans="1:10" ht="15" customHeight="1" thickBot="1">
      <c r="A39" s="1723"/>
      <c r="B39" s="1724"/>
      <c r="C39" s="1724"/>
      <c r="D39" s="1724"/>
      <c r="E39" s="1724"/>
      <c r="F39" s="1724"/>
      <c r="G39" s="1725"/>
      <c r="H39" s="473">
        <v>40999</v>
      </c>
      <c r="I39" s="474" t="str">
        <f>'Løntabel gældende fra'!$D$1</f>
        <v>01/04/2020</v>
      </c>
      <c r="J39" s="255"/>
    </row>
    <row r="40" spans="1:10" ht="15" customHeight="1" thickBot="1">
      <c r="A40" s="1757" t="s">
        <v>179</v>
      </c>
      <c r="B40" s="1758"/>
      <c r="C40" s="1758"/>
      <c r="D40" s="1758"/>
      <c r="E40" s="1758"/>
      <c r="F40" s="251"/>
      <c r="G40" s="262" t="s">
        <v>167</v>
      </c>
      <c r="H40" s="321">
        <v>6.88</v>
      </c>
      <c r="I40" s="314">
        <f>H40+H40*'Løntabel gældende fra'!$D$7%</f>
        <v>7.5902636799999996</v>
      </c>
      <c r="J40" s="255"/>
    </row>
    <row r="41" spans="1:10" ht="15" customHeight="1">
      <c r="A41" s="245"/>
      <c r="B41" s="245"/>
      <c r="C41" s="245"/>
      <c r="D41" s="245"/>
      <c r="E41" s="245"/>
      <c r="F41" s="246"/>
      <c r="G41" s="245"/>
      <c r="H41" s="246"/>
      <c r="I41" s="245"/>
      <c r="J41" s="255"/>
    </row>
    <row r="42" spans="1:10" ht="15" customHeight="1" thickBot="1">
      <c r="A42" s="245"/>
      <c r="B42" s="245"/>
      <c r="C42" s="245"/>
      <c r="D42" s="245"/>
      <c r="E42" s="245"/>
      <c r="F42" s="246"/>
      <c r="G42" s="245"/>
      <c r="H42" s="246"/>
      <c r="I42" s="245"/>
      <c r="J42" s="255"/>
    </row>
    <row r="43" spans="1:10" ht="15" customHeight="1" thickBot="1">
      <c r="A43" s="1140" t="s">
        <v>180</v>
      </c>
      <c r="B43" s="1141"/>
      <c r="C43" s="1141"/>
      <c r="D43" s="1141"/>
      <c r="E43" s="1141"/>
      <c r="F43" s="1141"/>
      <c r="G43" s="1141"/>
      <c r="H43" s="1141"/>
      <c r="I43" s="1142"/>
      <c r="J43" s="255"/>
    </row>
    <row r="44" spans="1:10" ht="15" customHeight="1">
      <c r="A44" s="1749"/>
      <c r="B44" s="1750"/>
      <c r="C44" s="1750"/>
      <c r="D44" s="1750"/>
      <c r="E44" s="1750"/>
      <c r="F44" s="1750"/>
      <c r="G44" s="1751"/>
      <c r="H44" s="471" t="s">
        <v>99</v>
      </c>
      <c r="I44" s="472" t="s">
        <v>104</v>
      </c>
      <c r="J44" s="255"/>
    </row>
    <row r="45" spans="1:10" ht="15" customHeight="1" thickBot="1">
      <c r="A45" s="1752"/>
      <c r="B45" s="1753"/>
      <c r="C45" s="1753"/>
      <c r="D45" s="1753"/>
      <c r="E45" s="1753"/>
      <c r="F45" s="1753"/>
      <c r="G45" s="1754"/>
      <c r="H45" s="473">
        <v>40999</v>
      </c>
      <c r="I45" s="474" t="str">
        <f>'Løntabel gældende fra'!$D$1</f>
        <v>01/04/2020</v>
      </c>
      <c r="J45" s="255"/>
    </row>
    <row r="46" spans="1:10" ht="15" customHeight="1" thickBot="1">
      <c r="A46" s="1757" t="s">
        <v>193</v>
      </c>
      <c r="B46" s="1758"/>
      <c r="C46" s="1758"/>
      <c r="D46" s="1758"/>
      <c r="E46" s="1758"/>
      <c r="F46" s="251"/>
      <c r="G46" s="262"/>
      <c r="H46" s="321">
        <v>655</v>
      </c>
      <c r="I46" s="314">
        <f>H46+H46*'Løntabel gældende fra'!$D$7%</f>
        <v>722.61958000000004</v>
      </c>
      <c r="J46" s="255"/>
    </row>
    <row r="47" spans="1:10" ht="15" customHeight="1">
      <c r="A47" s="245"/>
      <c r="B47" s="245"/>
      <c r="C47" s="245"/>
      <c r="D47" s="245"/>
      <c r="E47" s="245"/>
      <c r="F47" s="246"/>
      <c r="G47" s="245"/>
      <c r="H47" s="246"/>
      <c r="I47" s="245"/>
      <c r="J47" s="255"/>
    </row>
    <row r="48" spans="1:10" ht="15" customHeight="1" thickBot="1">
      <c r="A48" s="245"/>
      <c r="B48" s="245"/>
      <c r="C48" s="245"/>
      <c r="D48" s="245"/>
      <c r="E48" s="245"/>
      <c r="F48" s="246"/>
      <c r="G48" s="245"/>
      <c r="H48" s="246"/>
      <c r="I48" s="245"/>
      <c r="J48" s="255"/>
    </row>
    <row r="49" spans="1:10" ht="15" customHeight="1" thickBot="1">
      <c r="A49" s="1140" t="s">
        <v>181</v>
      </c>
      <c r="B49" s="1141"/>
      <c r="C49" s="1141"/>
      <c r="D49" s="1141"/>
      <c r="E49" s="1141"/>
      <c r="F49" s="1141"/>
      <c r="G49" s="1141"/>
      <c r="H49" s="1141"/>
      <c r="I49" s="1142"/>
      <c r="J49" s="255"/>
    </row>
    <row r="50" spans="1:10" ht="15" customHeight="1">
      <c r="A50" s="1741" t="s">
        <v>183</v>
      </c>
      <c r="B50" s="1742"/>
      <c r="C50" s="1742"/>
      <c r="D50" s="1742"/>
      <c r="E50" s="1742"/>
      <c r="F50" s="1742"/>
      <c r="G50" s="1755"/>
      <c r="H50" s="471" t="s">
        <v>99</v>
      </c>
      <c r="I50" s="472" t="s">
        <v>104</v>
      </c>
      <c r="J50" s="255"/>
    </row>
    <row r="51" spans="1:10" ht="15" customHeight="1" thickBot="1">
      <c r="A51" s="1743"/>
      <c r="B51" s="1744"/>
      <c r="C51" s="1744"/>
      <c r="D51" s="1744"/>
      <c r="E51" s="1744"/>
      <c r="F51" s="1744"/>
      <c r="G51" s="1756"/>
      <c r="H51" s="473">
        <v>40999</v>
      </c>
      <c r="I51" s="474" t="str">
        <f>'Løntabel gældende fra'!$D$1</f>
        <v>01/04/2020</v>
      </c>
      <c r="J51" s="255"/>
    </row>
    <row r="52" spans="1:10" ht="15" customHeight="1" thickBot="1">
      <c r="A52" s="1757" t="s">
        <v>182</v>
      </c>
      <c r="B52" s="1758"/>
      <c r="C52" s="1758"/>
      <c r="D52" s="1758"/>
      <c r="E52" s="1758"/>
      <c r="F52" s="251"/>
      <c r="G52" s="262"/>
      <c r="H52" s="321">
        <v>0</v>
      </c>
      <c r="I52" s="314">
        <f>H52+H52*'Løntabel gældende fra'!$D$7%</f>
        <v>0</v>
      </c>
      <c r="J52" s="255"/>
    </row>
    <row r="53" spans="1:10" ht="15" customHeight="1">
      <c r="A53" s="245"/>
      <c r="B53" s="245"/>
      <c r="C53" s="245"/>
      <c r="D53" s="245"/>
      <c r="E53" s="245"/>
      <c r="F53" s="246"/>
      <c r="G53" s="245"/>
      <c r="H53" s="246"/>
      <c r="I53" s="245"/>
      <c r="J53" s="255"/>
    </row>
    <row r="54" spans="1:10" ht="15" customHeight="1" thickBot="1">
      <c r="A54" s="245"/>
      <c r="B54" s="245"/>
      <c r="C54" s="245"/>
      <c r="D54" s="245"/>
      <c r="E54" s="245"/>
      <c r="F54" s="246"/>
      <c r="G54" s="245"/>
      <c r="H54" s="246"/>
      <c r="I54" s="245"/>
      <c r="J54" s="255"/>
    </row>
    <row r="55" spans="1:10" s="255" customFormat="1" ht="19" thickBot="1">
      <c r="A55" s="1140" t="s">
        <v>186</v>
      </c>
      <c r="B55" s="1141"/>
      <c r="C55" s="1141"/>
      <c r="D55" s="1141"/>
      <c r="E55" s="1141"/>
      <c r="F55" s="1141"/>
      <c r="G55" s="1141"/>
      <c r="H55" s="1141"/>
      <c r="I55" s="1142"/>
    </row>
    <row r="56" spans="1:10" s="255" customFormat="1" ht="14">
      <c r="A56" s="1741"/>
      <c r="B56" s="1742"/>
      <c r="C56" s="1742"/>
      <c r="D56" s="1742"/>
      <c r="E56" s="1742"/>
      <c r="F56" s="1742"/>
      <c r="G56" s="1755"/>
      <c r="H56" s="471" t="s">
        <v>99</v>
      </c>
      <c r="I56" s="472" t="s">
        <v>104</v>
      </c>
    </row>
    <row r="57" spans="1:10" s="255" customFormat="1" ht="15" thickBot="1">
      <c r="A57" s="1743"/>
      <c r="B57" s="1744"/>
      <c r="C57" s="1744"/>
      <c r="D57" s="1744"/>
      <c r="E57" s="1744"/>
      <c r="F57" s="1744"/>
      <c r="G57" s="1756"/>
      <c r="H57" s="473">
        <v>40999</v>
      </c>
      <c r="I57" s="474" t="str">
        <f>'Løntabel gældende fra'!$D$1</f>
        <v>01/04/2020</v>
      </c>
    </row>
    <row r="58" spans="1:10" s="255" customFormat="1" ht="15" thickBot="1">
      <c r="A58" s="1757" t="s">
        <v>186</v>
      </c>
      <c r="B58" s="1758"/>
      <c r="C58" s="1758"/>
      <c r="D58" s="1758"/>
      <c r="E58" s="1758"/>
      <c r="F58" s="251"/>
      <c r="G58" s="262"/>
      <c r="H58" s="321">
        <v>10500</v>
      </c>
      <c r="I58" s="322">
        <f>H58+H58*'Løntabel gældende fra'!$D$7%</f>
        <v>11583.977999999999</v>
      </c>
    </row>
    <row r="59" spans="1:10" s="282" customFormat="1" ht="14">
      <c r="A59" s="279"/>
      <c r="B59" s="279"/>
      <c r="C59" s="279"/>
      <c r="D59" s="279"/>
      <c r="E59" s="279"/>
      <c r="F59" s="266"/>
      <c r="G59" s="266"/>
      <c r="H59" s="280"/>
      <c r="I59" s="281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56:G57"/>
    <mergeCell ref="A58:E58"/>
    <mergeCell ref="A46:E46"/>
    <mergeCell ref="A52:E52"/>
    <mergeCell ref="A37:I37"/>
    <mergeCell ref="A38:G39"/>
    <mergeCell ref="A40:E40"/>
    <mergeCell ref="A55:I55"/>
    <mergeCell ref="A33:F33"/>
    <mergeCell ref="A43:I43"/>
    <mergeCell ref="A44:G45"/>
    <mergeCell ref="A49:I49"/>
    <mergeCell ref="A50:G51"/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/>
  <cols>
    <col min="1" max="1" width="13.33203125" style="225" customWidth="1"/>
    <col min="2" max="2" width="15" style="225" customWidth="1"/>
    <col min="3" max="3" width="16.33203125" style="225" customWidth="1"/>
    <col min="4" max="4" width="16.1640625" style="226" customWidth="1"/>
    <col min="5" max="5" width="17.33203125" style="225" customWidth="1"/>
    <col min="6" max="6" width="13.6640625" style="227" customWidth="1"/>
    <col min="7" max="7" width="0.33203125" style="227" customWidth="1"/>
    <col min="8" max="8" width="10.6640625" style="225" customWidth="1"/>
    <col min="9" max="16384" width="8.83203125" style="225"/>
  </cols>
  <sheetData>
    <row r="1" spans="1:9" s="2" customFormat="1" ht="22" customHeight="1">
      <c r="A1" s="1230" t="s">
        <v>19</v>
      </c>
      <c r="B1" s="1231"/>
      <c r="C1" s="1231"/>
      <c r="D1" s="1231"/>
      <c r="E1" s="1231"/>
      <c r="F1" s="1231"/>
      <c r="G1" s="1232"/>
      <c r="H1" s="434"/>
      <c r="I1" s="42"/>
    </row>
    <row r="2" spans="1:9" s="2" customFormat="1" ht="76" customHeight="1">
      <c r="A2" s="1730" t="s">
        <v>150</v>
      </c>
      <c r="B2" s="1731"/>
      <c r="C2" s="1731"/>
      <c r="D2" s="1731"/>
      <c r="E2" s="1731"/>
      <c r="F2" s="1731"/>
      <c r="G2" s="1732"/>
      <c r="H2" s="433"/>
    </row>
    <row r="3" spans="1:9" s="2" customFormat="1" ht="28" customHeight="1" thickBot="1">
      <c r="A3" s="1664" t="s">
        <v>227</v>
      </c>
      <c r="B3" s="1665"/>
      <c r="C3" s="1665"/>
      <c r="D3" s="1665"/>
      <c r="E3" s="1665"/>
      <c r="F3" s="1665"/>
      <c r="G3" s="1666"/>
      <c r="H3" s="434"/>
    </row>
    <row r="4" spans="1:9" ht="12" customHeight="1" thickBot="1">
      <c r="A4" s="1767"/>
      <c r="B4" s="1767"/>
      <c r="C4" s="1767"/>
      <c r="D4" s="1767"/>
      <c r="E4" s="1767"/>
      <c r="F4" s="1767"/>
      <c r="G4" s="1767"/>
    </row>
    <row r="5" spans="1:9" ht="19" thickBot="1">
      <c r="A5" s="493" t="s">
        <v>153</v>
      </c>
      <c r="B5" s="494"/>
      <c r="C5" s="494"/>
      <c r="D5" s="494"/>
      <c r="E5" s="494"/>
      <c r="F5" s="435"/>
      <c r="G5" s="495"/>
    </row>
    <row r="6" spans="1:9" ht="30" customHeight="1">
      <c r="A6" s="1172" t="s">
        <v>140</v>
      </c>
      <c r="B6" s="1172" t="s">
        <v>95</v>
      </c>
      <c r="C6" s="438" t="s">
        <v>101</v>
      </c>
      <c r="D6" s="439" t="s">
        <v>101</v>
      </c>
      <c r="E6" s="439" t="s">
        <v>102</v>
      </c>
      <c r="F6" s="376" t="s">
        <v>141</v>
      </c>
    </row>
    <row r="7" spans="1:9" ht="15" customHeight="1" thickBot="1">
      <c r="A7" s="1217"/>
      <c r="B7" s="1217"/>
      <c r="C7" s="373">
        <v>40999</v>
      </c>
      <c r="D7" s="347">
        <f>'Løntabel gældende fra'!C7</f>
        <v>43922</v>
      </c>
      <c r="E7" s="347">
        <f>'Løntabel gældende fra'!C7</f>
        <v>43922</v>
      </c>
      <c r="F7" s="430" t="s">
        <v>142</v>
      </c>
    </row>
    <row r="8" spans="1:9" ht="16" customHeight="1">
      <c r="A8" s="98">
        <v>1</v>
      </c>
      <c r="B8" s="98" t="s">
        <v>143</v>
      </c>
      <c r="C8" s="396">
        <f>12*22670</f>
        <v>272040</v>
      </c>
      <c r="D8" s="233">
        <f>C8+(C8*'Løntabel gældende fra'!$D$7%)</f>
        <v>300124.32144000003</v>
      </c>
      <c r="E8" s="392">
        <f>D8/12</f>
        <v>25010.360120000001</v>
      </c>
      <c r="F8" s="485">
        <f>(E8*12)/1672*1</f>
        <v>179.50019224880384</v>
      </c>
    </row>
    <row r="9" spans="1:9" ht="16" customHeight="1">
      <c r="A9" s="99">
        <v>2</v>
      </c>
      <c r="B9" s="99" t="s">
        <v>151</v>
      </c>
      <c r="C9" s="391">
        <f>25300*12</f>
        <v>303600</v>
      </c>
      <c r="D9" s="193">
        <f>C9+(C9*'Løntabel gældende fra'!$D$7%)</f>
        <v>334942.44959999999</v>
      </c>
      <c r="E9" s="293">
        <f>D9/12</f>
        <v>27911.870800000001</v>
      </c>
      <c r="F9" s="487">
        <f>(E9*12)/1672*1</f>
        <v>200.32443157894735</v>
      </c>
    </row>
    <row r="10" spans="1:9" ht="16" customHeight="1">
      <c r="A10" s="228">
        <v>3</v>
      </c>
      <c r="B10" s="488" t="s">
        <v>144</v>
      </c>
      <c r="C10" s="489">
        <f>27920*12</f>
        <v>335040</v>
      </c>
      <c r="D10" s="193">
        <f>C10+(C10*'Løntabel gældende fra'!$D$7%)</f>
        <v>369628.18943999999</v>
      </c>
      <c r="E10" s="293">
        <f>D10/12</f>
        <v>30802.349119999999</v>
      </c>
      <c r="F10" s="487">
        <f>(E10*12)/1672*1</f>
        <v>221.06949129186603</v>
      </c>
    </row>
    <row r="11" spans="1:9" ht="16" customHeight="1" thickBot="1">
      <c r="A11" s="229">
        <v>4</v>
      </c>
      <c r="B11" s="490" t="s">
        <v>152</v>
      </c>
      <c r="C11" s="491">
        <f>29200*12</f>
        <v>350400</v>
      </c>
      <c r="D11" s="172">
        <f>C11+(C11*'Løntabel gældende fra'!$D$7%)</f>
        <v>386573.89439999999</v>
      </c>
      <c r="E11" s="395">
        <f>D11/12</f>
        <v>32214.4912</v>
      </c>
      <c r="F11" s="486">
        <f>(E11*12)/1672*1</f>
        <v>231.20448229665072</v>
      </c>
    </row>
    <row r="12" spans="1:9" ht="11" customHeight="1" thickBot="1"/>
    <row r="13" spans="1:9" ht="19" thickBot="1">
      <c r="A13" s="1258" t="s">
        <v>154</v>
      </c>
      <c r="B13" s="1259"/>
      <c r="C13" s="1259"/>
      <c r="D13" s="1259"/>
      <c r="E13" s="1260"/>
      <c r="F13" s="219"/>
    </row>
    <row r="14" spans="1:9" ht="30" customHeight="1">
      <c r="A14" s="1172" t="s">
        <v>140</v>
      </c>
      <c r="B14" s="438" t="s">
        <v>101</v>
      </c>
      <c r="C14" s="439" t="s">
        <v>101</v>
      </c>
      <c r="D14" s="439" t="s">
        <v>102</v>
      </c>
      <c r="E14" s="376" t="s">
        <v>141</v>
      </c>
      <c r="F14" s="43"/>
    </row>
    <row r="15" spans="1:9" ht="17" customHeight="1" thickBot="1">
      <c r="A15" s="1217"/>
      <c r="B15" s="373">
        <v>40999</v>
      </c>
      <c r="C15" s="347">
        <f>'Løntabel gældende fra'!C7</f>
        <v>43922</v>
      </c>
      <c r="D15" s="347">
        <f>'Løntabel gældende fra'!C7</f>
        <v>43922</v>
      </c>
      <c r="E15" s="430" t="s">
        <v>142</v>
      </c>
      <c r="F15" s="43"/>
    </row>
    <row r="16" spans="1:9" ht="16" customHeight="1">
      <c r="A16" s="98" t="s">
        <v>145</v>
      </c>
      <c r="B16" s="396">
        <f>12*13140</f>
        <v>157680</v>
      </c>
      <c r="C16" s="233">
        <f>B16+(B16*'Løntabel gældende fra'!$D$7%)</f>
        <v>173958.25248</v>
      </c>
      <c r="D16" s="392">
        <f>C16/12</f>
        <v>14496.52104</v>
      </c>
      <c r="E16" s="485">
        <f>(D16*12)/1672*1</f>
        <v>104.04201703349283</v>
      </c>
      <c r="F16" s="232"/>
    </row>
    <row r="17" spans="1:8" ht="16" customHeight="1" thickBot="1">
      <c r="A17" s="100" t="s">
        <v>146</v>
      </c>
      <c r="B17" s="393">
        <f>12*13800</f>
        <v>165600</v>
      </c>
      <c r="C17" s="172">
        <f>B17+(B17*'Løntabel gældende fra'!$D$7%)</f>
        <v>182695.88159999999</v>
      </c>
      <c r="D17" s="395">
        <f>C17/12</f>
        <v>15224.656799999999</v>
      </c>
      <c r="E17" s="486">
        <f>(D17*12)/1672*1</f>
        <v>109.26787177033492</v>
      </c>
      <c r="F17" s="232"/>
    </row>
    <row r="18" spans="1:8" ht="13" customHeight="1" thickBot="1"/>
    <row r="19" spans="1:8" ht="19" thickBot="1">
      <c r="A19" s="1258" t="s">
        <v>155</v>
      </c>
      <c r="B19" s="1259"/>
      <c r="C19" s="1259"/>
      <c r="D19" s="1259"/>
      <c r="E19" s="1260"/>
    </row>
    <row r="20" spans="1:8" ht="30" customHeight="1">
      <c r="A20" s="374" t="s">
        <v>140</v>
      </c>
      <c r="B20" s="438" t="s">
        <v>101</v>
      </c>
      <c r="C20" s="439" t="s">
        <v>101</v>
      </c>
      <c r="D20" s="439" t="s">
        <v>102</v>
      </c>
      <c r="E20" s="376" t="s">
        <v>141</v>
      </c>
    </row>
    <row r="21" spans="1:8" ht="16" customHeight="1" thickBot="1">
      <c r="A21" s="377"/>
      <c r="B21" s="373">
        <v>40999</v>
      </c>
      <c r="C21" s="347">
        <f>'Løntabel gældende fra'!C7</f>
        <v>43922</v>
      </c>
      <c r="D21" s="347">
        <f>'Løntabel gældende fra'!C7</f>
        <v>43922</v>
      </c>
      <c r="E21" s="430" t="s">
        <v>142</v>
      </c>
    </row>
    <row r="22" spans="1:8" ht="16" customHeight="1" thickBot="1">
      <c r="A22" s="230" t="s">
        <v>145</v>
      </c>
      <c r="B22" s="397">
        <f>12*18700</f>
        <v>224400</v>
      </c>
      <c r="C22" s="234">
        <f>B22+(B22*'Løntabel gældende fra'!$D$7%)</f>
        <v>247566.15840000001</v>
      </c>
      <c r="D22" s="235">
        <f>C22/12</f>
        <v>20630.513200000001</v>
      </c>
      <c r="E22" s="492">
        <f>(D22*12)/1672*1</f>
        <v>148.06588421052632</v>
      </c>
      <c r="F22" s="226"/>
      <c r="G22" s="226"/>
    </row>
    <row r="23" spans="1:8" s="431" customFormat="1" ht="12" customHeight="1" thickBot="1">
      <c r="A23" s="43"/>
      <c r="B23" s="280"/>
      <c r="C23" s="280"/>
      <c r="D23" s="280"/>
      <c r="E23" s="231"/>
      <c r="F23" s="432"/>
      <c r="G23" s="432"/>
    </row>
    <row r="24" spans="1:8" ht="19" thickBot="1">
      <c r="A24" s="1258" t="s">
        <v>157</v>
      </c>
      <c r="B24" s="1259"/>
      <c r="C24" s="1259"/>
      <c r="D24" s="1259"/>
      <c r="E24" s="1260"/>
      <c r="F24" s="219"/>
      <c r="G24" s="219"/>
      <c r="H24" s="219"/>
    </row>
    <row r="25" spans="1:8" ht="31" customHeight="1" thickBot="1">
      <c r="A25" s="1164" t="s">
        <v>140</v>
      </c>
      <c r="B25" s="1172" t="s">
        <v>20</v>
      </c>
      <c r="C25" s="440" t="s">
        <v>236</v>
      </c>
      <c r="D25" s="441">
        <v>0.17299999999999999</v>
      </c>
      <c r="E25" s="448"/>
      <c r="F25" s="442"/>
      <c r="G25" s="445"/>
      <c r="H25" s="446"/>
    </row>
    <row r="26" spans="1:8" ht="45" customHeight="1" thickBot="1">
      <c r="A26" s="1170"/>
      <c r="B26" s="1217"/>
      <c r="C26" s="218" t="s">
        <v>21</v>
      </c>
      <c r="D26" s="444" t="s">
        <v>237</v>
      </c>
      <c r="E26" s="439" t="s">
        <v>22</v>
      </c>
      <c r="F26" s="1762"/>
      <c r="G26" s="1762"/>
      <c r="H26" s="447"/>
    </row>
    <row r="27" spans="1:8" ht="16" customHeight="1">
      <c r="A27" s="384">
        <v>1</v>
      </c>
      <c r="B27" s="171">
        <f>E8</f>
        <v>25010.360120000001</v>
      </c>
      <c r="C27" s="171">
        <f>E27*1/3</f>
        <v>1442.2641002533335</v>
      </c>
      <c r="D27" s="372">
        <f>E27*2/3</f>
        <v>2884.528200506667</v>
      </c>
      <c r="E27" s="171">
        <f>B27*$D$25</f>
        <v>4326.7923007600002</v>
      </c>
      <c r="F27" s="442"/>
      <c r="G27" s="443"/>
      <c r="H27" s="272"/>
    </row>
    <row r="28" spans="1:8" ht="16" customHeight="1">
      <c r="A28" s="449">
        <v>2</v>
      </c>
      <c r="B28" s="193">
        <f>E9</f>
        <v>27911.870800000001</v>
      </c>
      <c r="C28" s="193">
        <f>E28*1/3</f>
        <v>1609.5845494666664</v>
      </c>
      <c r="D28" s="381">
        <f>E28*2/3</f>
        <v>3219.1690989333329</v>
      </c>
      <c r="E28" s="193">
        <f>B28*$D$25</f>
        <v>4828.7536483999993</v>
      </c>
      <c r="F28" s="442"/>
      <c r="G28" s="443"/>
      <c r="H28" s="272"/>
    </row>
    <row r="29" spans="1:8" ht="16" customHeight="1">
      <c r="A29" s="449">
        <v>3</v>
      </c>
      <c r="B29" s="193">
        <f>E10</f>
        <v>30802.349119999999</v>
      </c>
      <c r="C29" s="193">
        <f>E29*1/3</f>
        <v>1776.2687992533331</v>
      </c>
      <c r="D29" s="381">
        <f>E29*2/3</f>
        <v>3552.5375985066662</v>
      </c>
      <c r="E29" s="193">
        <f>B29*$D$25</f>
        <v>5328.8063977599995</v>
      </c>
      <c r="F29" s="442"/>
      <c r="G29" s="443"/>
      <c r="H29" s="272"/>
    </row>
    <row r="30" spans="1:8" ht="16" customHeight="1" thickBot="1">
      <c r="A30" s="386">
        <v>4</v>
      </c>
      <c r="B30" s="172">
        <f>E11</f>
        <v>32214.4912</v>
      </c>
      <c r="C30" s="172">
        <f>E30*1/3</f>
        <v>1857.7023258666666</v>
      </c>
      <c r="D30" s="379">
        <f>E30*2/3</f>
        <v>3715.4046517333331</v>
      </c>
      <c r="E30" s="172">
        <f>B30*$D$25</f>
        <v>5573.1069775999995</v>
      </c>
      <c r="F30" s="442"/>
      <c r="G30" s="443"/>
      <c r="H30" s="272"/>
    </row>
    <row r="31" spans="1:8" ht="12" customHeight="1" thickBot="1">
      <c r="A31" s="43"/>
      <c r="B31" s="236"/>
      <c r="C31" s="236"/>
      <c r="D31" s="236"/>
      <c r="E31" s="231"/>
      <c r="F31" s="226"/>
      <c r="G31" s="226"/>
    </row>
    <row r="32" spans="1:8" ht="26.25" customHeight="1" thickBot="1">
      <c r="A32" s="1763" t="s">
        <v>158</v>
      </c>
      <c r="B32" s="1764"/>
      <c r="C32" s="1764"/>
      <c r="D32" s="1764"/>
      <c r="E32" s="1765"/>
      <c r="F32" s="116" t="s">
        <v>93</v>
      </c>
      <c r="G32" s="226"/>
    </row>
    <row r="33" spans="1:8" ht="29" customHeight="1" thickBot="1">
      <c r="A33" s="1308" t="s">
        <v>156</v>
      </c>
      <c r="B33" s="1309"/>
      <c r="C33" s="1309"/>
      <c r="D33" s="1309"/>
      <c r="E33" s="1766"/>
      <c r="F33" s="484">
        <v>160</v>
      </c>
      <c r="G33" s="226"/>
    </row>
    <row r="34" spans="1:8" ht="4.5" customHeight="1">
      <c r="A34" s="436"/>
      <c r="B34" s="436"/>
      <c r="C34" s="436"/>
      <c r="D34" s="436"/>
      <c r="E34" s="436"/>
      <c r="F34" s="437"/>
      <c r="G34" s="226"/>
    </row>
    <row r="35" spans="1:8" s="255" customFormat="1" ht="28" customHeight="1">
      <c r="A35" s="1759" t="s">
        <v>147</v>
      </c>
      <c r="B35" s="1759"/>
      <c r="C35" s="1759"/>
      <c r="D35" s="1759"/>
      <c r="E35" s="1759"/>
      <c r="F35" s="1759"/>
      <c r="G35" s="1759"/>
    </row>
    <row r="36" spans="1:8" s="255" customFormat="1" ht="30" customHeight="1">
      <c r="A36" s="1760" t="s">
        <v>148</v>
      </c>
      <c r="B36" s="1760"/>
      <c r="C36" s="1760"/>
      <c r="D36" s="1760"/>
      <c r="E36" s="1760"/>
      <c r="F36" s="1760"/>
      <c r="G36" s="1760"/>
      <c r="H36" s="450"/>
    </row>
    <row r="37" spans="1:8" s="255" customFormat="1" ht="32.25" customHeight="1">
      <c r="A37" s="1761" t="s">
        <v>149</v>
      </c>
      <c r="B37" s="1761"/>
      <c r="C37" s="1761"/>
      <c r="D37" s="1761"/>
      <c r="E37" s="1761"/>
      <c r="F37" s="1761"/>
      <c r="G37" s="1761"/>
    </row>
    <row r="38" spans="1:8" s="238" customFormat="1">
      <c r="A38" s="237"/>
      <c r="B38" s="237"/>
      <c r="D38" s="239"/>
      <c r="F38" s="240"/>
      <c r="G38" s="240"/>
    </row>
    <row r="39" spans="1:8" s="238" customFormat="1">
      <c r="A39" s="241"/>
      <c r="B39" s="241"/>
      <c r="D39" s="239"/>
      <c r="F39" s="240"/>
      <c r="G39" s="240"/>
    </row>
    <row r="40" spans="1:8" s="238" customFormat="1">
      <c r="A40" s="241"/>
      <c r="B40" s="241"/>
      <c r="C40" s="242"/>
      <c r="D40" s="239"/>
      <c r="F40" s="240"/>
      <c r="G40" s="240"/>
    </row>
    <row r="41" spans="1:8" s="238" customFormat="1">
      <c r="C41" s="243"/>
      <c r="D41" s="239"/>
      <c r="F41" s="240"/>
      <c r="G41" s="240"/>
    </row>
    <row r="42" spans="1:8" s="238" customFormat="1">
      <c r="C42" s="243"/>
      <c r="D42" s="239"/>
      <c r="F42" s="240"/>
      <c r="G42" s="240"/>
    </row>
    <row r="43" spans="1:8" s="238" customFormat="1">
      <c r="C43" s="243"/>
      <c r="D43" s="239"/>
      <c r="F43" s="240"/>
      <c r="G43" s="240"/>
    </row>
    <row r="44" spans="1:8" s="238" customFormat="1">
      <c r="C44" s="244"/>
      <c r="D44" s="239"/>
      <c r="F44" s="240"/>
      <c r="G44" s="240"/>
    </row>
    <row r="45" spans="1:8" s="238" customFormat="1">
      <c r="D45" s="239"/>
      <c r="F45" s="240"/>
      <c r="G45" s="240"/>
    </row>
  </sheetData>
  <sheetProtection password="CA9C" sheet="1" objects="1" scenarios="1"/>
  <mergeCells count="18"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  <mergeCell ref="A35:G35"/>
    <mergeCell ref="A36:G36"/>
    <mergeCell ref="A37:G37"/>
    <mergeCell ref="F26:G26"/>
    <mergeCell ref="B6:B7"/>
    <mergeCell ref="A32:E32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8"/>
  <sheetViews>
    <sheetView view="pageBreakPreview" zoomScaleNormal="125" zoomScaleSheetLayoutView="100" zoomScalePageLayoutView="125" workbookViewId="0">
      <selection activeCell="A53" sqref="A53:I53"/>
    </sheetView>
  </sheetViews>
  <sheetFormatPr baseColWidth="10" defaultColWidth="8.83203125" defaultRowHeight="13"/>
  <cols>
    <col min="1" max="1" width="9" style="225" customWidth="1"/>
    <col min="2" max="2" width="11.6640625" style="225" customWidth="1"/>
    <col min="3" max="3" width="11.1640625" style="225" customWidth="1"/>
    <col min="4" max="4" width="11.33203125" style="225" customWidth="1"/>
    <col min="5" max="6" width="10.6640625" style="225" customWidth="1"/>
    <col min="7" max="7" width="11.33203125" style="225" customWidth="1"/>
    <col min="8" max="8" width="11.1640625" style="225" customWidth="1"/>
    <col min="9" max="9" width="11.33203125" style="225" customWidth="1"/>
    <col min="10" max="10" width="10.5" style="225" customWidth="1"/>
    <col min="11" max="16384" width="8.83203125" style="225"/>
  </cols>
  <sheetData>
    <row r="1" spans="1:16" ht="20">
      <c r="A1" s="1230" t="s">
        <v>19</v>
      </c>
      <c r="B1" s="1231"/>
      <c r="C1" s="1231"/>
      <c r="D1" s="1231"/>
      <c r="E1" s="1231"/>
      <c r="F1" s="1231"/>
      <c r="G1" s="1231"/>
      <c r="H1" s="1231"/>
      <c r="I1" s="1231"/>
      <c r="J1" s="1232"/>
    </row>
    <row r="2" spans="1:16" ht="38" customHeight="1">
      <c r="A2" s="1730" t="s">
        <v>192</v>
      </c>
      <c r="B2" s="1731"/>
      <c r="C2" s="1731"/>
      <c r="D2" s="1731"/>
      <c r="E2" s="1731"/>
      <c r="F2" s="1731"/>
      <c r="G2" s="1731"/>
      <c r="H2" s="1731"/>
      <c r="I2" s="1731"/>
      <c r="J2" s="1732"/>
    </row>
    <row r="3" spans="1:16" ht="20">
      <c r="A3" s="1241" t="str">
        <f>'Forside 1'!A6:I6</f>
        <v>Gældende fra 1. april 2020</v>
      </c>
      <c r="B3" s="1242"/>
      <c r="C3" s="1242"/>
      <c r="D3" s="1242"/>
      <c r="E3" s="1242"/>
      <c r="F3" s="1242"/>
      <c r="G3" s="1242"/>
      <c r="H3" s="1242"/>
      <c r="I3" s="1242"/>
      <c r="J3" s="1243"/>
    </row>
    <row r="4" spans="1:16" ht="17" customHeight="1">
      <c r="A4" s="1783" t="s">
        <v>331</v>
      </c>
      <c r="B4" s="1784"/>
      <c r="C4" s="1784"/>
      <c r="D4" s="1784"/>
      <c r="E4" s="1784"/>
      <c r="F4" s="1784"/>
      <c r="G4" s="1784"/>
      <c r="H4" s="1784"/>
      <c r="I4" s="1784"/>
      <c r="J4" s="1785"/>
    </row>
    <row r="5" spans="1:16" ht="8" customHeight="1">
      <c r="A5" s="1783" t="s">
        <v>455</v>
      </c>
      <c r="B5" s="1784"/>
      <c r="C5" s="1784"/>
      <c r="D5" s="1784"/>
      <c r="E5" s="1784"/>
      <c r="F5" s="1784"/>
      <c r="G5" s="1784"/>
      <c r="H5" s="1784"/>
      <c r="I5" s="1784"/>
      <c r="J5" s="1785"/>
      <c r="L5" s="256"/>
      <c r="M5" s="255"/>
      <c r="N5" s="255"/>
      <c r="O5" s="255"/>
      <c r="P5" s="255"/>
    </row>
    <row r="6" spans="1:16" ht="7" customHeight="1" thickBot="1">
      <c r="A6" s="1786"/>
      <c r="B6" s="1787"/>
      <c r="C6" s="1787"/>
      <c r="D6" s="1787"/>
      <c r="E6" s="1787"/>
      <c r="F6" s="1787"/>
      <c r="G6" s="1787"/>
      <c r="H6" s="1787"/>
      <c r="I6" s="1787"/>
      <c r="J6" s="1788"/>
      <c r="L6" s="256"/>
      <c r="M6" s="255"/>
      <c r="N6" s="255"/>
      <c r="O6" s="255"/>
      <c r="P6" s="255"/>
    </row>
    <row r="7" spans="1:16" s="431" customFormat="1" ht="18" customHeight="1" thickBot="1">
      <c r="A7" s="586"/>
      <c r="B7" s="586"/>
      <c r="C7" s="586"/>
      <c r="D7" s="586"/>
      <c r="E7" s="586"/>
      <c r="F7" s="586"/>
      <c r="G7" s="587"/>
      <c r="H7" s="587"/>
      <c r="I7" s="587"/>
      <c r="J7" s="587"/>
      <c r="L7" s="588"/>
      <c r="M7" s="589"/>
      <c r="N7" s="589"/>
      <c r="O7" s="589"/>
      <c r="P7" s="589"/>
    </row>
    <row r="8" spans="1:16" ht="21" customHeight="1" thickBot="1">
      <c r="A8" s="1736" t="s">
        <v>312</v>
      </c>
      <c r="B8" s="1737"/>
      <c r="C8" s="1737"/>
      <c r="D8" s="1737"/>
      <c r="E8" s="1737"/>
      <c r="F8" s="1738"/>
      <c r="G8" s="1733" t="s">
        <v>170</v>
      </c>
      <c r="H8" s="1734"/>
      <c r="I8" s="1734"/>
      <c r="J8" s="1735"/>
      <c r="L8" s="256"/>
      <c r="M8" s="255"/>
      <c r="N8" s="255"/>
      <c r="O8" s="255"/>
      <c r="P8" s="255"/>
    </row>
    <row r="9" spans="1:16" ht="28">
      <c r="A9" s="477" t="s">
        <v>57</v>
      </c>
      <c r="B9" s="477" t="s">
        <v>76</v>
      </c>
      <c r="C9" s="480" t="s">
        <v>77</v>
      </c>
      <c r="D9" s="477" t="s">
        <v>78</v>
      </c>
      <c r="E9" s="477" t="s">
        <v>79</v>
      </c>
      <c r="F9" s="477" t="s">
        <v>80</v>
      </c>
      <c r="G9" s="481" t="s">
        <v>187</v>
      </c>
      <c r="H9" s="482" t="s">
        <v>189</v>
      </c>
      <c r="I9" s="482" t="s">
        <v>190</v>
      </c>
      <c r="J9" s="483">
        <v>0.14000000000000001</v>
      </c>
    </row>
    <row r="10" spans="1:16" ht="16" customHeight="1">
      <c r="A10" s="308">
        <v>14</v>
      </c>
      <c r="B10" s="660">
        <f>'Statens skalatrin'!D46</f>
        <v>20925.75</v>
      </c>
      <c r="C10" s="660">
        <f>'Statens skalatrin'!F46</f>
        <v>21361.5</v>
      </c>
      <c r="D10" s="660">
        <f>'Statens skalatrin'!H46</f>
        <v>21663.17</v>
      </c>
      <c r="E10" s="660">
        <f>'Statens skalatrin'!J46</f>
        <v>22098.83</v>
      </c>
      <c r="F10" s="660">
        <f>'Statens skalatrin'!L46</f>
        <v>22400.5</v>
      </c>
      <c r="G10" s="1789">
        <f>'Statens skalatrin'!O46</f>
        <v>19564.900000000001</v>
      </c>
      <c r="H10" s="1789">
        <f>ROUND(J10*1/3,2)</f>
        <v>913.03</v>
      </c>
      <c r="I10" s="1789">
        <f>ROUND(J10*2/3,2)</f>
        <v>1826.06</v>
      </c>
      <c r="J10" s="1789">
        <f>ROUND(G10*$J$9,2)</f>
        <v>2739.09</v>
      </c>
    </row>
    <row r="11" spans="1:16" ht="16" customHeight="1">
      <c r="A11" s="390" t="s">
        <v>234</v>
      </c>
      <c r="B11" s="503">
        <f>B10+(F24/12)</f>
        <v>21105.669166666667</v>
      </c>
      <c r="C11" s="503">
        <f>C10+(F24/12)</f>
        <v>21541.419166666667</v>
      </c>
      <c r="D11" s="503">
        <f>D10+(F24/12)</f>
        <v>21843.089166666665</v>
      </c>
      <c r="E11" s="503">
        <f>E10+(F24/12)</f>
        <v>22278.749166666668</v>
      </c>
      <c r="F11" s="503">
        <f>F10+(F24/12)</f>
        <v>22580.419166666667</v>
      </c>
      <c r="G11" s="1790"/>
      <c r="H11" s="1790"/>
      <c r="I11" s="1790"/>
      <c r="J11" s="1790"/>
    </row>
    <row r="12" spans="1:16" ht="16" customHeight="1">
      <c r="A12" s="308">
        <v>17</v>
      </c>
      <c r="B12" s="503">
        <f>'Statens skalatrin'!D55</f>
        <v>21973.25</v>
      </c>
      <c r="C12" s="503">
        <f>'Statens skalatrin'!F55</f>
        <v>22442.92</v>
      </c>
      <c r="D12" s="661">
        <f>'Statens skalatrin'!H55</f>
        <v>22768.080000000002</v>
      </c>
      <c r="E12" s="503">
        <f>'Statens skalatrin'!J55</f>
        <v>23237.75</v>
      </c>
      <c r="F12" s="503">
        <f>'Statens skalatrin'!L55</f>
        <v>23562.75</v>
      </c>
      <c r="G12" s="801">
        <f>'Statens skalatrin'!O55</f>
        <v>20637.32</v>
      </c>
      <c r="H12" s="802">
        <f>ROUND(J12*1/3,2)</f>
        <v>963.07</v>
      </c>
      <c r="I12" s="802">
        <f>ROUND(J12*2/3,2)</f>
        <v>1926.15</v>
      </c>
      <c r="J12" s="802">
        <f>ROUND(G12*$J$9,2)</f>
        <v>2889.22</v>
      </c>
    </row>
    <row r="13" spans="1:16" ht="16" customHeight="1" thickBot="1">
      <c r="A13" s="309">
        <v>21</v>
      </c>
      <c r="B13" s="504">
        <f>'Statens skalatrin'!D67</f>
        <v>23369.5</v>
      </c>
      <c r="C13" s="504">
        <f>'Statens skalatrin'!F67</f>
        <v>23888.83</v>
      </c>
      <c r="D13" s="662">
        <f>'Statens skalatrin'!H67</f>
        <v>24248.42</v>
      </c>
      <c r="E13" s="504">
        <f>'Statens skalatrin'!J67</f>
        <v>24767.75</v>
      </c>
      <c r="F13" s="504">
        <f>'Statens skalatrin'!L67</f>
        <v>25127.33</v>
      </c>
      <c r="G13" s="800">
        <f>'Statens skalatrin'!O67</f>
        <v>22210.29</v>
      </c>
      <c r="H13" s="800">
        <f>ROUND(J13*1/3,2)</f>
        <v>1036.48</v>
      </c>
      <c r="I13" s="800">
        <f>ROUND(J13*2/3,2)</f>
        <v>2072.96</v>
      </c>
      <c r="J13" s="800">
        <f>ROUND(G13*$J$9,2)</f>
        <v>3109.44</v>
      </c>
    </row>
    <row r="14" spans="1:16" ht="17" customHeight="1" thickBot="1">
      <c r="A14" s="255"/>
      <c r="B14" s="249"/>
      <c r="C14" s="249"/>
      <c r="D14" s="249"/>
      <c r="E14" s="249"/>
      <c r="F14" s="249"/>
      <c r="G14" s="273"/>
      <c r="H14" s="274"/>
      <c r="I14" s="275"/>
      <c r="J14" s="275"/>
    </row>
    <row r="15" spans="1:16" s="556" customFormat="1" ht="27" customHeight="1">
      <c r="A15" s="1798" t="s">
        <v>454</v>
      </c>
      <c r="B15" s="1799"/>
      <c r="C15" s="1799"/>
      <c r="D15" s="1799"/>
      <c r="E15" s="1799"/>
      <c r="F15" s="1799"/>
      <c r="G15" s="1800"/>
      <c r="H15" s="245"/>
    </row>
    <row r="16" spans="1:16" s="556" customFormat="1" ht="16" customHeight="1" thickBot="1">
      <c r="A16" s="1251" t="s">
        <v>318</v>
      </c>
      <c r="B16" s="1252"/>
      <c r="C16" s="1252"/>
      <c r="D16" s="1252"/>
      <c r="E16" s="1252"/>
      <c r="F16" s="1252"/>
      <c r="G16" s="1253"/>
      <c r="H16" s="245"/>
    </row>
    <row r="17" spans="1:10" s="245" customFormat="1" ht="16">
      <c r="A17" s="1658"/>
      <c r="B17" s="1659"/>
      <c r="C17" s="1660"/>
      <c r="D17" s="1652" t="s">
        <v>353</v>
      </c>
      <c r="E17" s="1652"/>
      <c r="F17" s="1651" t="s">
        <v>354</v>
      </c>
      <c r="G17" s="1653"/>
    </row>
    <row r="18" spans="1:10" s="245" customFormat="1" ht="13" customHeight="1" thickBot="1">
      <c r="A18" s="1661"/>
      <c r="B18" s="1662"/>
      <c r="C18" s="1663"/>
      <c r="D18" s="1691">
        <v>40999</v>
      </c>
      <c r="E18" s="1692"/>
      <c r="F18" s="1688" t="str">
        <f>'Løntabel gældende fra'!$D$1</f>
        <v>01/04/2020</v>
      </c>
      <c r="G18" s="1689"/>
    </row>
    <row r="19" spans="1:10" s="245" customFormat="1" ht="15" customHeight="1" thickBot="1">
      <c r="A19" s="1792" t="s">
        <v>164</v>
      </c>
      <c r="B19" s="1793"/>
      <c r="C19" s="1794"/>
      <c r="D19" s="1795">
        <v>148</v>
      </c>
      <c r="E19" s="1796"/>
      <c r="F19" s="1797">
        <f>ROUND(+D19*(1+'Løntabel gældende fra'!$D$7/100),2)</f>
        <v>163.28</v>
      </c>
      <c r="G19" s="1796"/>
    </row>
    <row r="20" spans="1:10" ht="15" customHeight="1" thickBot="1">
      <c r="A20" s="264"/>
      <c r="B20" s="263"/>
      <c r="C20" s="263"/>
      <c r="D20" s="263"/>
      <c r="E20" s="263"/>
      <c r="F20" s="263"/>
      <c r="G20" s="255"/>
      <c r="H20" s="254"/>
      <c r="I20" s="254"/>
      <c r="J20" s="245"/>
    </row>
    <row r="21" spans="1:10" ht="21" customHeight="1" thickBot="1">
      <c r="A21" s="1258" t="s">
        <v>165</v>
      </c>
      <c r="B21" s="1259"/>
      <c r="C21" s="1259"/>
      <c r="D21" s="1259"/>
      <c r="E21" s="1259"/>
      <c r="F21" s="1260"/>
      <c r="G21" s="219"/>
      <c r="H21" s="219"/>
      <c r="I21" s="219"/>
      <c r="J21" s="245"/>
    </row>
    <row r="22" spans="1:10" ht="27" customHeight="1">
      <c r="A22" s="1771" t="s">
        <v>332</v>
      </c>
      <c r="B22" s="1772"/>
      <c r="C22" s="1772"/>
      <c r="D22" s="1772"/>
      <c r="E22" s="653" t="s">
        <v>132</v>
      </c>
      <c r="F22" s="654" t="s">
        <v>352</v>
      </c>
      <c r="G22" s="266"/>
      <c r="H22" s="255"/>
      <c r="I22" s="255"/>
      <c r="J22" s="245"/>
    </row>
    <row r="23" spans="1:10" ht="15" customHeight="1">
      <c r="A23" s="1743"/>
      <c r="B23" s="1744"/>
      <c r="C23" s="1744"/>
      <c r="D23" s="1744"/>
      <c r="E23" s="590">
        <v>40999</v>
      </c>
      <c r="F23" s="592" t="str">
        <f>'Løntabel gældende fra'!D1</f>
        <v>01/04/2020</v>
      </c>
      <c r="G23" s="266"/>
      <c r="H23" s="255"/>
      <c r="I23" s="255"/>
      <c r="J23" s="245"/>
    </row>
    <row r="24" spans="1:10" ht="16" customHeight="1" thickBot="1">
      <c r="A24" s="1757" t="s">
        <v>233</v>
      </c>
      <c r="B24" s="1758"/>
      <c r="C24" s="1758"/>
      <c r="D24" s="1791"/>
      <c r="E24" s="567">
        <v>1957</v>
      </c>
      <c r="F24" s="1005">
        <f>ROUND(E24+(E24*'Løntabel gældende fra'!$D$7%),2)</f>
        <v>2159.0300000000002</v>
      </c>
      <c r="G24" s="266"/>
      <c r="H24" s="255"/>
      <c r="I24" s="255"/>
      <c r="J24" s="245"/>
    </row>
    <row r="25" spans="1:10" ht="15" customHeight="1" thickBot="1">
      <c r="A25" s="264"/>
      <c r="B25" s="263"/>
      <c r="C25" s="263"/>
      <c r="D25" s="263"/>
      <c r="E25" s="263"/>
      <c r="F25" s="263"/>
      <c r="G25" s="255"/>
      <c r="H25" s="255"/>
      <c r="I25" s="255"/>
      <c r="J25" s="245"/>
    </row>
    <row r="26" spans="1:10" ht="20" customHeight="1">
      <c r="A26" s="1140" t="s">
        <v>174</v>
      </c>
      <c r="B26" s="1141"/>
      <c r="C26" s="1141"/>
      <c r="D26" s="1141"/>
      <c r="E26" s="1141"/>
      <c r="F26" s="1141"/>
      <c r="G26" s="1141"/>
      <c r="H26" s="1141"/>
      <c r="I26" s="1142"/>
      <c r="J26" s="245"/>
    </row>
    <row r="27" spans="1:10" ht="20" customHeight="1" thickBot="1">
      <c r="A27" s="1221" t="s">
        <v>318</v>
      </c>
      <c r="B27" s="1222"/>
      <c r="C27" s="1222"/>
      <c r="D27" s="1222"/>
      <c r="E27" s="1222"/>
      <c r="F27" s="1222"/>
      <c r="G27" s="1222"/>
      <c r="H27" s="1222"/>
      <c r="I27" s="1223"/>
      <c r="J27" s="245"/>
    </row>
    <row r="28" spans="1:10" ht="27" customHeight="1" thickBot="1">
      <c r="A28" s="1781"/>
      <c r="B28" s="1782"/>
      <c r="C28" s="1782"/>
      <c r="D28" s="1782"/>
      <c r="E28" s="1782"/>
      <c r="F28" s="1782"/>
      <c r="G28" s="1782"/>
      <c r="H28" s="653" t="s">
        <v>353</v>
      </c>
      <c r="I28" s="656" t="s">
        <v>354</v>
      </c>
      <c r="J28" s="245"/>
    </row>
    <row r="29" spans="1:10" ht="15" customHeight="1" thickBot="1">
      <c r="A29" s="1723"/>
      <c r="B29" s="1724"/>
      <c r="C29" s="1724"/>
      <c r="D29" s="1724"/>
      <c r="E29" s="1724"/>
      <c r="F29" s="1724"/>
      <c r="G29" s="1725"/>
      <c r="H29" s="594">
        <v>40999</v>
      </c>
      <c r="I29" s="595" t="str">
        <f>'Løntabel gældende fra'!D1</f>
        <v>01/04/2020</v>
      </c>
      <c r="J29" s="245"/>
    </row>
    <row r="30" spans="1:10" ht="15" customHeight="1">
      <c r="A30" s="1726" t="s">
        <v>175</v>
      </c>
      <c r="B30" s="1727"/>
      <c r="C30" s="1727"/>
      <c r="D30" s="1727"/>
      <c r="E30" s="1727"/>
      <c r="F30" s="250"/>
      <c r="G30" s="252" t="s">
        <v>167</v>
      </c>
      <c r="H30" s="315">
        <v>22.32</v>
      </c>
      <c r="I30" s="1006">
        <f>ROUND(H30+(H30*'Løntabel gældende fra'!$D$7%),2)</f>
        <v>24.62</v>
      </c>
      <c r="J30" s="245"/>
    </row>
    <row r="31" spans="1:10" ht="15" customHeight="1">
      <c r="A31" s="1728" t="s">
        <v>176</v>
      </c>
      <c r="B31" s="1729"/>
      <c r="C31" s="1729"/>
      <c r="D31" s="1729"/>
      <c r="E31" s="1729"/>
      <c r="F31" s="563"/>
      <c r="G31" s="253" t="s">
        <v>167</v>
      </c>
      <c r="H31" s="317">
        <v>39.92</v>
      </c>
      <c r="I31" s="1007">
        <f>ROUND(H31+(H31*'Løntabel gældende fra'!$D$7%),2)</f>
        <v>44.04</v>
      </c>
      <c r="J31" s="245"/>
    </row>
    <row r="32" spans="1:10" ht="26" customHeight="1">
      <c r="A32" s="1726" t="s">
        <v>177</v>
      </c>
      <c r="B32" s="1727"/>
      <c r="C32" s="1727"/>
      <c r="D32" s="1727"/>
      <c r="E32" s="1727"/>
      <c r="F32" s="1727"/>
      <c r="G32" s="253" t="s">
        <v>167</v>
      </c>
      <c r="H32" s="317">
        <v>39.92</v>
      </c>
      <c r="I32" s="1007">
        <f>ROUND(H32+(H32*'Løntabel gældende fra'!$D$7%),2)</f>
        <v>44.04</v>
      </c>
      <c r="J32" s="245"/>
    </row>
    <row r="33" spans="1:10" ht="15" customHeight="1" thickBot="1">
      <c r="A33" s="284" t="s">
        <v>166</v>
      </c>
      <c r="B33" s="283"/>
      <c r="C33" s="283"/>
      <c r="D33" s="283"/>
      <c r="E33" s="267"/>
      <c r="F33" s="267"/>
      <c r="G33" s="278" t="s">
        <v>167</v>
      </c>
      <c r="H33" s="319">
        <v>39.92</v>
      </c>
      <c r="I33" s="1008">
        <f>ROUND(H33+(H33*'Løntabel gældende fra'!$D$7%),2)</f>
        <v>44.04</v>
      </c>
      <c r="J33" s="245"/>
    </row>
    <row r="34" spans="1:10" ht="15" customHeight="1" thickBot="1">
      <c r="A34" s="277"/>
      <c r="B34" s="277"/>
      <c r="C34" s="277"/>
      <c r="D34" s="277"/>
      <c r="E34" s="277"/>
      <c r="F34" s="277"/>
      <c r="G34" s="277"/>
      <c r="H34" s="236"/>
      <c r="I34" s="276"/>
      <c r="J34" s="245"/>
    </row>
    <row r="35" spans="1:10" ht="21" customHeight="1">
      <c r="A35" s="1140" t="s">
        <v>333</v>
      </c>
      <c r="B35" s="1141"/>
      <c r="C35" s="1141"/>
      <c r="D35" s="1141"/>
      <c r="E35" s="1141"/>
      <c r="F35" s="1141"/>
      <c r="G35" s="1141"/>
      <c r="H35" s="1141"/>
      <c r="I35" s="1142"/>
      <c r="J35" s="255"/>
    </row>
    <row r="36" spans="1:10" ht="21" customHeight="1" thickBot="1">
      <c r="A36" s="1221" t="s">
        <v>314</v>
      </c>
      <c r="B36" s="1222"/>
      <c r="C36" s="1222"/>
      <c r="D36" s="1222"/>
      <c r="E36" s="1222"/>
      <c r="F36" s="1222"/>
      <c r="G36" s="1222"/>
      <c r="H36" s="1222"/>
      <c r="I36" s="1223"/>
      <c r="J36" s="255"/>
    </row>
    <row r="37" spans="1:10" ht="27" customHeight="1" thickBot="1">
      <c r="A37" s="1768"/>
      <c r="B37" s="1769"/>
      <c r="C37" s="1769"/>
      <c r="D37" s="1769"/>
      <c r="E37" s="1769"/>
      <c r="F37" s="1769"/>
      <c r="G37" s="1770"/>
      <c r="H37" s="653" t="s">
        <v>353</v>
      </c>
      <c r="I37" s="656" t="s">
        <v>354</v>
      </c>
      <c r="J37" s="255"/>
    </row>
    <row r="38" spans="1:10" ht="15" customHeight="1" thickBot="1">
      <c r="A38" s="1768"/>
      <c r="B38" s="1769"/>
      <c r="C38" s="1769"/>
      <c r="D38" s="1769"/>
      <c r="E38" s="1769"/>
      <c r="F38" s="1769"/>
      <c r="G38" s="1770"/>
      <c r="H38" s="594">
        <v>40999</v>
      </c>
      <c r="I38" s="595" t="str">
        <f>'Løntabel gældende fra'!D1</f>
        <v>01/04/2020</v>
      </c>
      <c r="J38" s="255"/>
    </row>
    <row r="39" spans="1:10" ht="15" customHeight="1" thickBot="1">
      <c r="A39" s="1290" t="s">
        <v>179</v>
      </c>
      <c r="B39" s="1291"/>
      <c r="C39" s="1291"/>
      <c r="D39" s="1291"/>
      <c r="E39" s="1291"/>
      <c r="F39" s="596"/>
      <c r="G39" s="597" t="s">
        <v>167</v>
      </c>
      <c r="H39" s="321">
        <v>6.88</v>
      </c>
      <c r="I39" s="314">
        <f>ROUND(H39+(H39*'Løntabel gældende fra'!D7%),2)</f>
        <v>7.59</v>
      </c>
      <c r="J39" s="255"/>
    </row>
    <row r="40" spans="1:10" ht="15" customHeight="1" thickBot="1">
      <c r="A40" s="1780"/>
      <c r="B40" s="1780"/>
      <c r="C40" s="1780"/>
      <c r="D40" s="1780"/>
      <c r="E40" s="1780"/>
      <c r="F40" s="1780"/>
      <c r="G40" s="1780"/>
      <c r="H40" s="1780"/>
      <c r="I40" s="1780"/>
      <c r="J40" s="255"/>
    </row>
    <row r="41" spans="1:10" ht="21" customHeight="1">
      <c r="A41" s="1140" t="s">
        <v>180</v>
      </c>
      <c r="B41" s="1141"/>
      <c r="C41" s="1141"/>
      <c r="D41" s="1141"/>
      <c r="E41" s="1141"/>
      <c r="F41" s="1141"/>
      <c r="G41" s="1141"/>
      <c r="H41" s="1141"/>
      <c r="I41" s="1142"/>
      <c r="J41" s="255"/>
    </row>
    <row r="42" spans="1:10" ht="21" customHeight="1" thickBot="1">
      <c r="A42" s="1221" t="s">
        <v>318</v>
      </c>
      <c r="B42" s="1222"/>
      <c r="C42" s="1222"/>
      <c r="D42" s="1222"/>
      <c r="E42" s="1222"/>
      <c r="F42" s="1222"/>
      <c r="G42" s="1222"/>
      <c r="H42" s="1222"/>
      <c r="I42" s="1223"/>
      <c r="J42" s="255"/>
    </row>
    <row r="43" spans="1:10" ht="30" customHeight="1">
      <c r="A43" s="1774"/>
      <c r="B43" s="1775"/>
      <c r="C43" s="1775"/>
      <c r="D43" s="1775"/>
      <c r="E43" s="1775"/>
      <c r="F43" s="1775"/>
      <c r="G43" s="1776"/>
      <c r="H43" s="653" t="s">
        <v>132</v>
      </c>
      <c r="I43" s="654" t="s">
        <v>352</v>
      </c>
      <c r="J43" s="255"/>
    </row>
    <row r="44" spans="1:10" ht="15" customHeight="1" thickBot="1">
      <c r="A44" s="1777"/>
      <c r="B44" s="1778"/>
      <c r="C44" s="1778"/>
      <c r="D44" s="1778"/>
      <c r="E44" s="1778"/>
      <c r="F44" s="1778"/>
      <c r="G44" s="1779"/>
      <c r="H44" s="594">
        <v>40999</v>
      </c>
      <c r="I44" s="595" t="str">
        <f>'Løntabel gældende fra'!D1</f>
        <v>01/04/2020</v>
      </c>
      <c r="J44" s="255"/>
    </row>
    <row r="45" spans="1:10" ht="15" customHeight="1" thickBot="1">
      <c r="A45" s="1290" t="s">
        <v>193</v>
      </c>
      <c r="B45" s="1291"/>
      <c r="C45" s="1291"/>
      <c r="D45" s="1291"/>
      <c r="E45" s="1291"/>
      <c r="F45" s="596"/>
      <c r="G45" s="597"/>
      <c r="H45" s="321">
        <v>655</v>
      </c>
      <c r="I45" s="314">
        <f>ROUND(H45+(H45*'Løntabel gældende fra'!D7%),2)</f>
        <v>722.62</v>
      </c>
      <c r="J45" s="255"/>
    </row>
    <row r="46" spans="1:10" ht="15" customHeight="1" thickBot="1">
      <c r="A46" s="245"/>
      <c r="B46" s="245"/>
      <c r="C46" s="245"/>
      <c r="D46" s="245"/>
      <c r="E46" s="245"/>
      <c r="F46" s="246"/>
      <c r="G46" s="245"/>
      <c r="H46" s="246"/>
      <c r="I46" s="245"/>
      <c r="J46" s="255"/>
    </row>
    <row r="47" spans="1:10" ht="21" customHeight="1">
      <c r="A47" s="1140" t="s">
        <v>334</v>
      </c>
      <c r="B47" s="1141"/>
      <c r="C47" s="1141"/>
      <c r="D47" s="1141"/>
      <c r="E47" s="1141"/>
      <c r="F47" s="1141"/>
      <c r="G47" s="1141"/>
      <c r="H47" s="1141"/>
      <c r="I47" s="1142"/>
      <c r="J47" s="255"/>
    </row>
    <row r="48" spans="1:10" ht="21" customHeight="1" thickBot="1">
      <c r="A48" s="1221" t="s">
        <v>314</v>
      </c>
      <c r="B48" s="1222"/>
      <c r="C48" s="1222"/>
      <c r="D48" s="1222"/>
      <c r="E48" s="1222"/>
      <c r="F48" s="1222"/>
      <c r="G48" s="1222"/>
      <c r="H48" s="1222"/>
      <c r="I48" s="1223"/>
      <c r="J48" s="255"/>
    </row>
    <row r="49" spans="1:10" ht="15" customHeight="1">
      <c r="A49" s="1771" t="s">
        <v>183</v>
      </c>
      <c r="B49" s="1772"/>
      <c r="C49" s="1772"/>
      <c r="D49" s="1772"/>
      <c r="E49" s="1772"/>
      <c r="F49" s="1772"/>
      <c r="G49" s="1773"/>
      <c r="H49" s="591" t="s">
        <v>99</v>
      </c>
      <c r="I49" s="593" t="s">
        <v>104</v>
      </c>
      <c r="J49" s="255"/>
    </row>
    <row r="50" spans="1:10" ht="15" customHeight="1" thickBot="1">
      <c r="A50" s="1743"/>
      <c r="B50" s="1744"/>
      <c r="C50" s="1744"/>
      <c r="D50" s="1744"/>
      <c r="E50" s="1744"/>
      <c r="F50" s="1744"/>
      <c r="G50" s="1756"/>
      <c r="H50" s="594">
        <v>40999</v>
      </c>
      <c r="I50" s="595" t="str">
        <f>'Løntabel gældende fra'!D1</f>
        <v>01/04/2020</v>
      </c>
      <c r="J50" s="255"/>
    </row>
    <row r="51" spans="1:10" ht="15" customHeight="1" thickBot="1">
      <c r="A51" s="1757" t="s">
        <v>182</v>
      </c>
      <c r="B51" s="1758"/>
      <c r="C51" s="1758"/>
      <c r="D51" s="1758"/>
      <c r="E51" s="1758"/>
      <c r="F51" s="251"/>
      <c r="G51" s="262"/>
      <c r="H51" s="321">
        <v>0</v>
      </c>
      <c r="I51" s="314">
        <v>0</v>
      </c>
      <c r="J51" s="255"/>
    </row>
    <row r="52" spans="1:10" ht="15" customHeight="1" thickBot="1">
      <c r="A52" s="245"/>
      <c r="B52" s="245"/>
      <c r="C52" s="245"/>
      <c r="D52" s="245"/>
      <c r="E52" s="245"/>
      <c r="F52" s="246"/>
      <c r="G52" s="245"/>
      <c r="H52" s="246"/>
      <c r="I52" s="245"/>
      <c r="J52" s="255"/>
    </row>
    <row r="53" spans="1:10" s="255" customFormat="1" ht="18">
      <c r="A53" s="1140" t="s">
        <v>335</v>
      </c>
      <c r="B53" s="1141"/>
      <c r="C53" s="1141"/>
      <c r="D53" s="1141"/>
      <c r="E53" s="1141"/>
      <c r="F53" s="1141"/>
      <c r="G53" s="1141"/>
      <c r="H53" s="1141"/>
      <c r="I53" s="1142"/>
    </row>
    <row r="54" spans="1:10" s="255" customFormat="1" ht="17" thickBot="1">
      <c r="A54" s="1221" t="s">
        <v>314</v>
      </c>
      <c r="B54" s="1222"/>
      <c r="C54" s="1222"/>
      <c r="D54" s="1222"/>
      <c r="E54" s="1222"/>
      <c r="F54" s="1222"/>
      <c r="G54" s="1222"/>
      <c r="H54" s="1222"/>
      <c r="I54" s="1223"/>
    </row>
    <row r="55" spans="1:10" s="255" customFormat="1" ht="28">
      <c r="A55" s="1287"/>
      <c r="B55" s="1288"/>
      <c r="C55" s="1288"/>
      <c r="D55" s="1288"/>
      <c r="E55" s="1288"/>
      <c r="F55" s="1288"/>
      <c r="G55" s="1289"/>
      <c r="H55" s="653" t="s">
        <v>132</v>
      </c>
      <c r="I55" s="654" t="s">
        <v>352</v>
      </c>
    </row>
    <row r="56" spans="1:10" s="255" customFormat="1" ht="15" thickBot="1">
      <c r="A56" s="1771"/>
      <c r="B56" s="1772"/>
      <c r="C56" s="1772"/>
      <c r="D56" s="1772"/>
      <c r="E56" s="1772"/>
      <c r="F56" s="1772"/>
      <c r="G56" s="1773"/>
      <c r="H56" s="594">
        <v>40999</v>
      </c>
      <c r="I56" s="595" t="str">
        <f>'Løntabel gældende fra'!D1</f>
        <v>01/04/2020</v>
      </c>
    </row>
    <row r="57" spans="1:10" s="255" customFormat="1" ht="15" thickBot="1">
      <c r="A57" s="1290" t="s">
        <v>186</v>
      </c>
      <c r="B57" s="1291"/>
      <c r="C57" s="1291"/>
      <c r="D57" s="1291"/>
      <c r="E57" s="1291"/>
      <c r="F57" s="596"/>
      <c r="G57" s="597"/>
      <c r="H57" s="321">
        <v>10500</v>
      </c>
      <c r="I57" s="322">
        <f>ROUND(H57+(H57*'Løntabel gældende fra'!D7%),2)</f>
        <v>11583.98</v>
      </c>
    </row>
    <row r="58" spans="1:10" s="282" customFormat="1" ht="14">
      <c r="A58" s="279"/>
      <c r="B58" s="279"/>
      <c r="C58" s="279"/>
      <c r="D58" s="279"/>
      <c r="E58" s="279"/>
      <c r="F58" s="266"/>
      <c r="G58" s="266"/>
      <c r="H58" s="280"/>
      <c r="I58" s="281"/>
    </row>
  </sheetData>
  <sheetProtection sheet="1" objects="1" scenarios="1"/>
  <mergeCells count="47">
    <mergeCell ref="I10:I11"/>
    <mergeCell ref="J10:J11"/>
    <mergeCell ref="A24:D24"/>
    <mergeCell ref="A21:F21"/>
    <mergeCell ref="A22:D23"/>
    <mergeCell ref="G10:G11"/>
    <mergeCell ref="H10:H11"/>
    <mergeCell ref="A19:C19"/>
    <mergeCell ref="D19:E19"/>
    <mergeCell ref="F19:G19"/>
    <mergeCell ref="A15:G15"/>
    <mergeCell ref="A17:C18"/>
    <mergeCell ref="D17:E17"/>
    <mergeCell ref="F17:G17"/>
    <mergeCell ref="D18:E18"/>
    <mergeCell ref="F18:G18"/>
    <mergeCell ref="A1:J1"/>
    <mergeCell ref="A2:J2"/>
    <mergeCell ref="A3:J3"/>
    <mergeCell ref="G8:J8"/>
    <mergeCell ref="A8:F8"/>
    <mergeCell ref="A5:J6"/>
    <mergeCell ref="A4:J4"/>
    <mergeCell ref="A47:I47"/>
    <mergeCell ref="A40:I40"/>
    <mergeCell ref="A27:I27"/>
    <mergeCell ref="A36:I36"/>
    <mergeCell ref="A42:I42"/>
    <mergeCell ref="A28:G29"/>
    <mergeCell ref="A30:E30"/>
    <mergeCell ref="A31:E31"/>
    <mergeCell ref="A16:G16"/>
    <mergeCell ref="A57:E57"/>
    <mergeCell ref="A45:E45"/>
    <mergeCell ref="A51:E51"/>
    <mergeCell ref="A35:I35"/>
    <mergeCell ref="A37:G38"/>
    <mergeCell ref="A39:E39"/>
    <mergeCell ref="A53:I53"/>
    <mergeCell ref="A55:G56"/>
    <mergeCell ref="A48:I48"/>
    <mergeCell ref="A54:I54"/>
    <mergeCell ref="A49:G50"/>
    <mergeCell ref="A26:I26"/>
    <mergeCell ref="A32:F32"/>
    <mergeCell ref="A41:I41"/>
    <mergeCell ref="A43:G44"/>
  </mergeCells>
  <phoneticPr fontId="6" type="noConversion"/>
  <pageMargins left="0.59" right="0.59" top="0.75" bottom="0.75" header="0.31" footer="0.31"/>
  <pageSetup paperSize="9" scale="69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20</vt:i4>
      </vt:variant>
    </vt:vector>
  </HeadingPairs>
  <TitlesOfParts>
    <vt:vector size="35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(DFF, DPS, DSSV)</vt:lpstr>
      <vt:lpstr>3F (DPS)</vt:lpstr>
      <vt:lpstr>HK (DFF, DPS)</vt:lpstr>
      <vt:lpstr>Krifa</vt:lpstr>
      <vt:lpstr>Generelle satser</vt:lpstr>
      <vt:lpstr>Statens skalatrin</vt:lpstr>
      <vt:lpstr>Løntabel gældende fra</vt:lpstr>
      <vt:lpstr>'3f (DFF, DPS, DSSV)'!Udskriftsområde</vt:lpstr>
      <vt:lpstr>'3f (LS_DSSV)'!Udskriftsområde</vt:lpstr>
      <vt:lpstr>BUPL!Udskriftsområde</vt:lpstr>
      <vt:lpstr>'Forside 1'!Udskriftsområde</vt:lpstr>
      <vt:lpstr>'Generelle satser'!Udskriftsområde</vt:lpstr>
      <vt:lpstr>Gymnasieskoler!Udskriftsområde</vt:lpstr>
      <vt:lpstr>'HK (DFF, DPS)'!Udskriftsområde</vt:lpstr>
      <vt:lpstr>'HK (LS)'!Udskriftsområde</vt:lpstr>
      <vt:lpstr>Krifa!Udskriftsområde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 (DFF, DPS, DSSV)'!Udskriftstitler</vt:lpstr>
      <vt:lpstr>'3f (LS_DSSV)'!Udskriftstitler</vt:lpstr>
      <vt:lpstr>BUPL!Udskriftstitler</vt:lpstr>
      <vt:lpstr>'Generelle satser'!Udskriftstitler</vt:lpstr>
      <vt:lpstr>Gymnasieskoler!Udskriftstitler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Jette Vibe Johansen</cp:lastModifiedBy>
  <cp:lastPrinted>2020-03-11T08:38:44Z</cp:lastPrinted>
  <dcterms:created xsi:type="dcterms:W3CDTF">2014-05-07T09:31:49Z</dcterms:created>
  <dcterms:modified xsi:type="dcterms:W3CDTF">2021-05-05T11:01:14Z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