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autoCompressPictures="0"/>
  <mc:AlternateContent xmlns:mc="http://schemas.openxmlformats.org/markup-compatibility/2006">
    <mc:Choice Requires="x15">
      <x15ac:absPath xmlns:x15ac="http://schemas.microsoft.com/office/spreadsheetml/2010/11/ac" url="/Users/jette/Downloads/"/>
    </mc:Choice>
  </mc:AlternateContent>
  <xr:revisionPtr revIDLastSave="0" documentId="8_{229DD944-0993-C244-BFCC-00552B323FFB}" xr6:coauthVersionLast="47" xr6:coauthVersionMax="47" xr10:uidLastSave="{00000000-0000-0000-0000-000000000000}"/>
  <bookViews>
    <workbookView xWindow="-31180" yWindow="1400" windowWidth="28100" windowHeight="15880" tabRatio="993" xr2:uid="{00000000-000D-0000-FFFF-FFFF00000000}"/>
  </bookViews>
  <sheets>
    <sheet name="Forside 1" sheetId="2" r:id="rId1"/>
    <sheet name="Lønoversigt mm." sheetId="28" r:id="rId2"/>
    <sheet name="Lærere og bh kl ledere" sheetId="1" r:id="rId3"/>
    <sheet name="Ledere" sheetId="13" r:id="rId4"/>
    <sheet name="Gymnasieskoler" sheetId="35" r:id="rId5"/>
    <sheet name="BUPL" sheetId="20" r:id="rId6"/>
    <sheet name="3f (LS_DSSV)" sheetId="24" state="hidden" r:id="rId7"/>
    <sheet name="HK (LS)" sheetId="16" state="hidden" r:id="rId8"/>
    <sheet name="3f (DFF, DPS, LS, DSSV)" sheetId="33" state="hidden" r:id="rId9"/>
    <sheet name="3F (DPS)" sheetId="32" state="hidden" r:id="rId10"/>
    <sheet name="HK (DFF, DPS, LS)" sheetId="34" state="hidden" r:id="rId11"/>
    <sheet name="Krifa (2)" sheetId="42" r:id="rId12"/>
    <sheet name="Generelle satser" sheetId="11" r:id="rId13"/>
    <sheet name="Statens skalatrin" sheetId="10" r:id="rId14"/>
    <sheet name="Løntabel gældende fra" sheetId="12" r:id="rId15"/>
  </sheets>
  <externalReferences>
    <externalReference r:id="rId16"/>
  </externalReferences>
  <definedNames>
    <definedName name="procentregulering">[1]aarslon!$A$1</definedName>
    <definedName name="_xlnm.Print_Area" localSheetId="8">'3f (DFF, DPS, LS, DSSV)'!$A$1:$J$67</definedName>
    <definedName name="_xlnm.Print_Area" localSheetId="6">'3f (LS_DSSV)'!$A$1:$J$59</definedName>
    <definedName name="_xlnm.Print_Area" localSheetId="5">BUPL!$A$1:$H$93</definedName>
    <definedName name="_xlnm.Print_Area" localSheetId="0">'Forside 1'!$A$1:$I$28</definedName>
    <definedName name="_xlnm.Print_Area" localSheetId="12">'Generelle satser'!$A$1:$H$107</definedName>
    <definedName name="_xlnm.Print_Area" localSheetId="4">Gymnasieskoler!$A$1:$H$127</definedName>
    <definedName name="_xlnm.Print_Area" localSheetId="10">'HK (DFF, DPS, LS)'!$A$1:$K$77</definedName>
    <definedName name="_xlnm.Print_Area" localSheetId="7">'HK (LS)'!$A$1:$G$38</definedName>
    <definedName name="_xlnm.Print_Area" localSheetId="11">'Krifa (2)'!$A$1:$J$56</definedName>
    <definedName name="_xlnm.Print_Area" localSheetId="3">Ledere!$A$1:$G$90</definedName>
    <definedName name="_xlnm.Print_Area" localSheetId="2">'Lærere og bh kl ledere'!$A$1:$I$166</definedName>
    <definedName name="_xlnm.Print_Area" localSheetId="14">'Løntabel gældende fra'!$A$1:$G$27</definedName>
    <definedName name="_xlnm.Print_Area" localSheetId="13">'Statens skalatrin'!$A$1:$P$158</definedName>
    <definedName name="_xlnm.Print_Titles" localSheetId="8">'3f (DFF, DPS, LS,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Ledere!#REF!</definedName>
    <definedName name="_xlnm.Print_Titles" localSheetId="2">'Lærere og bh kl ledere'!$1:$3</definedName>
    <definedName name="_xlnm.Print_Titles" localSheetId="13">'Statens skalatrin'!$1:$5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1" i="33" l="1"/>
  <c r="D11" i="33"/>
  <c r="E11" i="33"/>
  <c r="F11" i="33"/>
  <c r="B11" i="33"/>
  <c r="F52" i="20"/>
  <c r="J41" i="34"/>
  <c r="J32" i="34"/>
  <c r="J21" i="34"/>
  <c r="J22" i="34"/>
  <c r="H22" i="34" s="1"/>
  <c r="G13" i="33"/>
  <c r="F14" i="33"/>
  <c r="E14" i="33"/>
  <c r="D14" i="33"/>
  <c r="C14" i="33"/>
  <c r="B14" i="33"/>
  <c r="F20" i="33"/>
  <c r="B85" i="20"/>
  <c r="H60" i="20"/>
  <c r="H61" i="20"/>
  <c r="F53" i="20"/>
  <c r="H53" i="20" s="1"/>
  <c r="H52" i="20"/>
  <c r="G33" i="20"/>
  <c r="H33" i="20" s="1"/>
  <c r="F33" i="20"/>
  <c r="E33" i="20"/>
  <c r="D33" i="20"/>
  <c r="C33" i="20"/>
  <c r="B33" i="20"/>
  <c r="E114" i="35"/>
  <c r="E107" i="35"/>
  <c r="E73" i="35"/>
  <c r="F26" i="35"/>
  <c r="H71" i="20"/>
  <c r="H68" i="20"/>
  <c r="H57" i="11"/>
  <c r="D34" i="33"/>
  <c r="D33" i="33"/>
  <c r="F32" i="33"/>
  <c r="F19" i="33"/>
  <c r="F21" i="33"/>
  <c r="A2" i="13" l="1"/>
  <c r="A2" i="35"/>
  <c r="G77" i="34" l="1"/>
  <c r="H77" i="34" s="1"/>
  <c r="G73" i="34"/>
  <c r="H73" i="34" s="1"/>
  <c r="G74" i="34"/>
  <c r="H74" i="34" s="1"/>
  <c r="G75" i="34"/>
  <c r="H75" i="34" s="1"/>
  <c r="G72" i="34"/>
  <c r="H72" i="34" s="1"/>
  <c r="G68" i="34"/>
  <c r="H68" i="34" s="1"/>
  <c r="G69" i="34"/>
  <c r="H69" i="34" s="1"/>
  <c r="G70" i="34"/>
  <c r="H70" i="34" s="1"/>
  <c r="G67" i="34"/>
  <c r="H67" i="34" s="1"/>
  <c r="D77" i="34"/>
  <c r="E77" i="34" s="1"/>
  <c r="D73" i="34"/>
  <c r="E73" i="34" s="1"/>
  <c r="D74" i="34"/>
  <c r="E74" i="34" s="1"/>
  <c r="D75" i="34"/>
  <c r="E75" i="34" s="1"/>
  <c r="D72" i="34"/>
  <c r="E72" i="34" s="1"/>
  <c r="D68" i="34"/>
  <c r="E68" i="34" s="1"/>
  <c r="D69" i="34"/>
  <c r="E69" i="34" s="1"/>
  <c r="D70" i="34"/>
  <c r="E70" i="34" s="1"/>
  <c r="D67" i="34"/>
  <c r="E67" i="34" s="1"/>
  <c r="I59" i="34"/>
  <c r="I53" i="34"/>
  <c r="I52" i="34"/>
  <c r="I67" i="33"/>
  <c r="I55" i="33"/>
  <c r="I49" i="33"/>
  <c r="I41" i="33"/>
  <c r="I42" i="33"/>
  <c r="I43" i="33"/>
  <c r="I40" i="33"/>
  <c r="F27" i="33"/>
  <c r="F92" i="20"/>
  <c r="F91" i="20"/>
  <c r="G81" i="20"/>
  <c r="G80" i="20"/>
  <c r="H75" i="20"/>
  <c r="H74" i="20"/>
  <c r="H73" i="20"/>
  <c r="H72" i="20"/>
  <c r="H69" i="20"/>
  <c r="H62" i="20"/>
  <c r="H59" i="20"/>
  <c r="F47" i="20"/>
  <c r="H47" i="20" s="1"/>
  <c r="C118" i="35"/>
  <c r="D118" i="35" s="1"/>
  <c r="E118" i="35" s="1"/>
  <c r="C117" i="35"/>
  <c r="D117" i="35" s="1"/>
  <c r="E117" i="35" s="1"/>
  <c r="C110" i="35"/>
  <c r="D110" i="35" s="1"/>
  <c r="E110" i="35" s="1"/>
  <c r="G103" i="35"/>
  <c r="E103" i="35"/>
  <c r="G102" i="35"/>
  <c r="E102" i="35"/>
  <c r="E84" i="35"/>
  <c r="C76" i="35"/>
  <c r="E76" i="35" s="1"/>
  <c r="E65" i="35"/>
  <c r="F65" i="35" s="1"/>
  <c r="G65" i="35" s="1"/>
  <c r="E66" i="35"/>
  <c r="F66" i="35" s="1"/>
  <c r="G66" i="35" s="1"/>
  <c r="E67" i="35"/>
  <c r="F67" i="35" s="1"/>
  <c r="G67" i="35" s="1"/>
  <c r="E68" i="35"/>
  <c r="F68" i="35" s="1"/>
  <c r="G68" i="35" s="1"/>
  <c r="E69" i="35"/>
  <c r="F69" i="35" s="1"/>
  <c r="G69" i="35" s="1"/>
  <c r="E64" i="35"/>
  <c r="F64" i="35" s="1"/>
  <c r="G64" i="35" s="1"/>
  <c r="F54" i="35"/>
  <c r="G54" i="35" s="1"/>
  <c r="F55" i="35"/>
  <c r="G55" i="35" s="1"/>
  <c r="F56" i="35"/>
  <c r="G56" i="35" s="1"/>
  <c r="F57" i="35"/>
  <c r="G57" i="35" s="1"/>
  <c r="F53" i="35"/>
  <c r="G53" i="35" s="1"/>
  <c r="F45" i="35"/>
  <c r="G45" i="35" s="1"/>
  <c r="F46" i="35"/>
  <c r="G46" i="35" s="1"/>
  <c r="F47" i="35"/>
  <c r="G47" i="35" s="1"/>
  <c r="F48" i="35"/>
  <c r="G48" i="35" s="1"/>
  <c r="F44" i="35"/>
  <c r="G44" i="35" s="1"/>
  <c r="D30" i="35"/>
  <c r="E30" i="35" s="1"/>
  <c r="F30" i="35" s="1"/>
  <c r="D31" i="35"/>
  <c r="E31" i="35" s="1"/>
  <c r="F31" i="35" s="1"/>
  <c r="D32" i="35"/>
  <c r="E32" i="35" s="1"/>
  <c r="F32" i="35" s="1"/>
  <c r="D33" i="35"/>
  <c r="E33" i="35" s="1"/>
  <c r="F33" i="35" s="1"/>
  <c r="D34" i="35"/>
  <c r="E34" i="35" s="1"/>
  <c r="F34" i="35" s="1"/>
  <c r="D35" i="35"/>
  <c r="E35" i="35" s="1"/>
  <c r="F35" i="35" s="1"/>
  <c r="D29" i="35"/>
  <c r="E29" i="35" s="1"/>
  <c r="F29" i="35" s="1"/>
  <c r="D12" i="35"/>
  <c r="E12" i="35" s="1"/>
  <c r="F12" i="35" s="1"/>
  <c r="D13" i="35"/>
  <c r="E13" i="35" s="1"/>
  <c r="F13" i="35" s="1"/>
  <c r="D14" i="35"/>
  <c r="E14" i="35" s="1"/>
  <c r="F14" i="35" s="1"/>
  <c r="D15" i="35"/>
  <c r="E15" i="35" s="1"/>
  <c r="F15" i="35" s="1"/>
  <c r="D11" i="35"/>
  <c r="E11" i="35" s="1"/>
  <c r="F11" i="35" s="1"/>
  <c r="G11" i="1"/>
  <c r="H11" i="1" s="1"/>
  <c r="G12" i="1"/>
  <c r="H12" i="1" s="1"/>
  <c r="G13" i="1"/>
  <c r="H13" i="1" s="1"/>
  <c r="G10" i="1"/>
  <c r="H10" i="1" s="1"/>
  <c r="D13" i="1"/>
  <c r="E13" i="1" s="1"/>
  <c r="D12" i="1"/>
  <c r="E12" i="1" s="1"/>
  <c r="D11" i="1"/>
  <c r="E11" i="1" s="1"/>
  <c r="D10" i="1"/>
  <c r="E10" i="1" s="1"/>
  <c r="F102" i="1"/>
  <c r="F101" i="1"/>
  <c r="F100" i="1"/>
  <c r="G96" i="1"/>
  <c r="G95" i="1"/>
  <c r="G92" i="1"/>
  <c r="G91" i="1"/>
  <c r="F96" i="1"/>
  <c r="F95" i="1"/>
  <c r="F92" i="1"/>
  <c r="F91" i="1"/>
  <c r="I84" i="1"/>
  <c r="I83" i="1"/>
  <c r="I77" i="1"/>
  <c r="H71" i="1"/>
  <c r="I71" i="1" s="1"/>
  <c r="D65" i="1"/>
  <c r="F65" i="1" s="1"/>
  <c r="D64" i="1"/>
  <c r="F64" i="1" s="1"/>
  <c r="D63" i="1"/>
  <c r="F63" i="1" s="1"/>
  <c r="D62" i="1"/>
  <c r="F62" i="1" s="1"/>
  <c r="D56" i="1"/>
  <c r="F56" i="1" s="1"/>
  <c r="D55" i="1"/>
  <c r="F55" i="1" s="1"/>
  <c r="D54" i="1"/>
  <c r="F54" i="1" s="1"/>
  <c r="D53" i="1"/>
  <c r="F53" i="1" s="1"/>
  <c r="D47" i="1"/>
  <c r="F47" i="1" s="1"/>
  <c r="D46" i="1"/>
  <c r="F46" i="1" s="1"/>
  <c r="D45" i="1"/>
  <c r="F45" i="1" s="1"/>
  <c r="H23" i="1"/>
  <c r="H22" i="1"/>
  <c r="H21" i="1"/>
  <c r="H20" i="1"/>
  <c r="E23" i="1"/>
  <c r="E22" i="1"/>
  <c r="E21" i="1"/>
  <c r="E20" i="1"/>
  <c r="C29" i="1" s="1"/>
  <c r="E24" i="11"/>
  <c r="E23" i="11"/>
  <c r="E22" i="11"/>
  <c r="F34" i="33" l="1"/>
  <c r="F33" i="33"/>
  <c r="F29" i="11"/>
  <c r="H29" i="11"/>
  <c r="H63" i="11" l="1"/>
  <c r="H62" i="11"/>
  <c r="H61" i="11"/>
  <c r="H60" i="11"/>
  <c r="H58" i="11"/>
  <c r="H56" i="11"/>
  <c r="D29" i="13" l="1"/>
  <c r="C29" i="13"/>
  <c r="C23" i="13"/>
  <c r="C22" i="13"/>
  <c r="D21" i="13"/>
  <c r="C21" i="13"/>
  <c r="C65" i="34" l="1"/>
  <c r="F65" i="34" s="1"/>
  <c r="I58" i="34"/>
  <c r="E65" i="34" s="1"/>
  <c r="H65" i="34" s="1"/>
  <c r="I51" i="34"/>
  <c r="D65" i="34" l="1"/>
  <c r="G65" i="34" s="1"/>
  <c r="E21" i="13" l="1"/>
  <c r="F13" i="13"/>
  <c r="E13" i="13"/>
  <c r="F26" i="33"/>
  <c r="F61" i="1"/>
  <c r="D61" i="1"/>
  <c r="B140" i="1"/>
  <c r="F140" i="1" s="1"/>
  <c r="B139" i="1"/>
  <c r="F139" i="1" s="1"/>
  <c r="B138" i="1"/>
  <c r="F138" i="1" s="1"/>
  <c r="B137" i="1"/>
  <c r="F137" i="1" s="1"/>
  <c r="B113" i="1"/>
  <c r="F113" i="1" s="1"/>
  <c r="B112" i="1"/>
  <c r="F112" i="1" s="1"/>
  <c r="B111" i="1"/>
  <c r="F111" i="1" s="1"/>
  <c r="B110" i="1"/>
  <c r="F110" i="1" s="1"/>
  <c r="O45" i="10"/>
  <c r="O46" i="10" s="1"/>
  <c r="G16" i="34" s="1"/>
  <c r="J16" i="34" s="1"/>
  <c r="O54" i="10"/>
  <c r="O55" i="10" s="1"/>
  <c r="G11" i="24" s="1"/>
  <c r="J11" i="24" s="1"/>
  <c r="H11" i="24" s="1"/>
  <c r="O63" i="10"/>
  <c r="O64" i="10" s="1"/>
  <c r="G24" i="34" s="1"/>
  <c r="J24" i="34" s="1"/>
  <c r="C94" i="35"/>
  <c r="D94" i="35" s="1"/>
  <c r="E94" i="35" s="1"/>
  <c r="F89" i="1"/>
  <c r="F93" i="1"/>
  <c r="E99" i="35"/>
  <c r="A83" i="20"/>
  <c r="C93" i="35"/>
  <c r="D93" i="35" s="1"/>
  <c r="C116" i="35"/>
  <c r="D116" i="35" s="1"/>
  <c r="C109" i="35"/>
  <c r="D109" i="35" s="1"/>
  <c r="E83" i="35"/>
  <c r="C75" i="35"/>
  <c r="E63" i="35"/>
  <c r="F63" i="35" s="1"/>
  <c r="F52" i="35"/>
  <c r="G52" i="35" s="1"/>
  <c r="F43" i="35"/>
  <c r="G43" i="35" s="1"/>
  <c r="E28" i="35"/>
  <c r="D28" i="35"/>
  <c r="E10" i="35"/>
  <c r="D10" i="35"/>
  <c r="F87" i="10"/>
  <c r="F88" i="10" s="1"/>
  <c r="F44" i="13"/>
  <c r="F43" i="13"/>
  <c r="E40" i="10"/>
  <c r="E41" i="10" s="1"/>
  <c r="F39" i="10"/>
  <c r="F40" i="10" s="1"/>
  <c r="G40" i="10"/>
  <c r="G41" i="10" s="1"/>
  <c r="H39" i="10"/>
  <c r="H40" i="10" s="1"/>
  <c r="I40" i="10"/>
  <c r="I41" i="10" s="1"/>
  <c r="J39" i="10"/>
  <c r="J40" i="10" s="1"/>
  <c r="K40" i="10"/>
  <c r="K41" i="10" s="1"/>
  <c r="L39" i="10"/>
  <c r="L40" i="10" s="1"/>
  <c r="M41" i="10"/>
  <c r="N41" i="10"/>
  <c r="O39" i="10"/>
  <c r="O40" i="10" s="1"/>
  <c r="D39" i="10"/>
  <c r="D40" i="10" s="1"/>
  <c r="F65" i="13"/>
  <c r="D65" i="13"/>
  <c r="B67" i="13"/>
  <c r="C67" i="13" s="1"/>
  <c r="B68" i="13"/>
  <c r="B69" i="13"/>
  <c r="B70" i="13"/>
  <c r="B71" i="13"/>
  <c r="B72" i="13"/>
  <c r="B73" i="13"/>
  <c r="B74" i="13"/>
  <c r="B75" i="13"/>
  <c r="B76" i="13"/>
  <c r="B77" i="13"/>
  <c r="C77" i="13" s="1"/>
  <c r="B78" i="13"/>
  <c r="B79" i="13"/>
  <c r="B80" i="13"/>
  <c r="B81" i="13"/>
  <c r="B82" i="13"/>
  <c r="B83" i="13"/>
  <c r="B84" i="13"/>
  <c r="B85" i="13"/>
  <c r="C85" i="13" s="1"/>
  <c r="B86" i="13"/>
  <c r="A1" i="10"/>
  <c r="A3" i="34"/>
  <c r="I54" i="32"/>
  <c r="I47" i="32"/>
  <c r="I40" i="32"/>
  <c r="I33" i="32"/>
  <c r="I23" i="32"/>
  <c r="A3" i="32"/>
  <c r="A3" i="33"/>
  <c r="A3" i="20"/>
  <c r="E35" i="13"/>
  <c r="E10" i="13"/>
  <c r="E19" i="13"/>
  <c r="E8" i="13"/>
  <c r="F52" i="1"/>
  <c r="D52" i="1"/>
  <c r="A29" i="1"/>
  <c r="A26" i="1"/>
  <c r="A3" i="1"/>
  <c r="G30" i="11"/>
  <c r="H30" i="11" s="1"/>
  <c r="G31" i="11"/>
  <c r="H31" i="11" s="1"/>
  <c r="G32" i="11"/>
  <c r="H32" i="11" s="1"/>
  <c r="G33" i="11"/>
  <c r="H33" i="11" s="1"/>
  <c r="E30" i="11"/>
  <c r="F30" i="11" s="1"/>
  <c r="E31" i="11"/>
  <c r="F31" i="11" s="1"/>
  <c r="E32" i="11"/>
  <c r="F32" i="11" s="1"/>
  <c r="E33" i="11"/>
  <c r="F33" i="11" s="1"/>
  <c r="O57" i="10"/>
  <c r="O58" i="10" s="1"/>
  <c r="O60" i="10"/>
  <c r="O61" i="10" s="1"/>
  <c r="G13" i="20" s="1"/>
  <c r="H13" i="20" s="1"/>
  <c r="O66" i="10"/>
  <c r="O67" i="10" s="1"/>
  <c r="O69" i="10"/>
  <c r="O70" i="10" s="1"/>
  <c r="G25" i="34" s="1"/>
  <c r="J25" i="34" s="1"/>
  <c r="O72" i="10"/>
  <c r="O73" i="10" s="1"/>
  <c r="G17" i="20" s="1"/>
  <c r="H17" i="20" s="1"/>
  <c r="O75" i="10"/>
  <c r="O76" i="10" s="1"/>
  <c r="O77" i="10" s="1"/>
  <c r="O78" i="10"/>
  <c r="O79" i="10" s="1"/>
  <c r="G19" i="20" s="1"/>
  <c r="H19" i="20" s="1"/>
  <c r="O81" i="10"/>
  <c r="O82" i="10" s="1"/>
  <c r="O84" i="10"/>
  <c r="O85" i="10" s="1"/>
  <c r="O87" i="10"/>
  <c r="O88" i="10" s="1"/>
  <c r="G22" i="20" s="1"/>
  <c r="H22" i="20" s="1"/>
  <c r="O90" i="10"/>
  <c r="O91" i="10" s="1"/>
  <c r="G34" i="34" s="1"/>
  <c r="J34" i="34" s="1"/>
  <c r="O93" i="10"/>
  <c r="O94" i="10" s="1"/>
  <c r="G24" i="20" s="1"/>
  <c r="H24" i="20" s="1"/>
  <c r="O96" i="10"/>
  <c r="O97" i="10" s="1"/>
  <c r="G35" i="34" s="1"/>
  <c r="J35" i="34" s="1"/>
  <c r="O99" i="10"/>
  <c r="O100" i="10" s="1"/>
  <c r="G26" i="20" s="1"/>
  <c r="H26" i="20" s="1"/>
  <c r="O102" i="10"/>
  <c r="O103" i="10" s="1"/>
  <c r="G36" i="34" s="1"/>
  <c r="J36" i="34" s="1"/>
  <c r="O105" i="10"/>
  <c r="O106" i="10" s="1"/>
  <c r="G42" i="34" s="1"/>
  <c r="J42" i="34" s="1"/>
  <c r="O108" i="10"/>
  <c r="O109" i="10" s="1"/>
  <c r="O111" i="10"/>
  <c r="O112" i="10" s="1"/>
  <c r="G43" i="34" s="1"/>
  <c r="J43" i="34" s="1"/>
  <c r="O114" i="10"/>
  <c r="O115" i="10" s="1"/>
  <c r="G31" i="20" s="1"/>
  <c r="H31" i="20" s="1"/>
  <c r="O117" i="10"/>
  <c r="O118" i="10" s="1"/>
  <c r="O51" i="10"/>
  <c r="O52" i="10" s="1"/>
  <c r="O53" i="10" s="1"/>
  <c r="O48" i="10"/>
  <c r="O49" i="10" s="1"/>
  <c r="I48" i="32"/>
  <c r="I41" i="32"/>
  <c r="I34" i="32"/>
  <c r="I25" i="32"/>
  <c r="I26" i="32"/>
  <c r="I27" i="32"/>
  <c r="I24" i="32"/>
  <c r="D57" i="10"/>
  <c r="D58" i="10" s="1"/>
  <c r="D60" i="10"/>
  <c r="D61" i="10" s="1"/>
  <c r="B13" i="20" s="1"/>
  <c r="D54" i="10"/>
  <c r="D55" i="10" s="1"/>
  <c r="D51" i="10"/>
  <c r="D52" i="10" s="1"/>
  <c r="I66" i="33"/>
  <c r="I60" i="33"/>
  <c r="I54" i="33"/>
  <c r="I48" i="33"/>
  <c r="I39" i="33"/>
  <c r="J45" i="10"/>
  <c r="J46" i="10" s="1"/>
  <c r="E16" i="34" s="1"/>
  <c r="L45" i="10"/>
  <c r="L46" i="10" s="1"/>
  <c r="F16" i="34" s="1"/>
  <c r="L63" i="10"/>
  <c r="L64" i="10" s="1"/>
  <c r="F24" i="34" s="1"/>
  <c r="J63" i="10"/>
  <c r="J64" i="10" s="1"/>
  <c r="H63" i="10"/>
  <c r="H64" i="10" s="1"/>
  <c r="H65" i="10" s="1"/>
  <c r="F63" i="10"/>
  <c r="F64" i="10" s="1"/>
  <c r="C14" i="20" s="1"/>
  <c r="D63" i="10"/>
  <c r="D64" i="10" s="1"/>
  <c r="B24" i="34" s="1"/>
  <c r="H45" i="10"/>
  <c r="H46" i="10" s="1"/>
  <c r="F45" i="10"/>
  <c r="F46" i="10" s="1"/>
  <c r="C8" i="20" s="1"/>
  <c r="D45" i="10"/>
  <c r="D46" i="10" s="1"/>
  <c r="B9" i="32" s="1"/>
  <c r="B17" i="32" s="1"/>
  <c r="L54" i="10"/>
  <c r="L55" i="10" s="1"/>
  <c r="J54" i="10"/>
  <c r="J55" i="10" s="1"/>
  <c r="E10" i="32" s="1"/>
  <c r="H54" i="10"/>
  <c r="H55" i="10" s="1"/>
  <c r="D11" i="24" s="1"/>
  <c r="F54" i="10"/>
  <c r="F55" i="10" s="1"/>
  <c r="F46" i="20"/>
  <c r="H67" i="20"/>
  <c r="H58" i="20"/>
  <c r="G47" i="20"/>
  <c r="H46"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s="1"/>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40" i="20" s="1"/>
  <c r="G148" i="10"/>
  <c r="G149" i="10" s="1"/>
  <c r="F147" i="10"/>
  <c r="F148" i="10" s="1"/>
  <c r="F149" i="10" s="1"/>
  <c r="D147" i="10"/>
  <c r="D148" i="10" s="1"/>
  <c r="B40"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s="1"/>
  <c r="F141" i="10"/>
  <c r="F142" i="10" s="1"/>
  <c r="F143" i="10" s="1"/>
  <c r="D141" i="10"/>
  <c r="D142" i="10" s="1"/>
  <c r="D143" i="10" s="1"/>
  <c r="O138" i="10"/>
  <c r="O139" i="10" s="1"/>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s="1"/>
  <c r="O135" i="10"/>
  <c r="O136" i="10" s="1"/>
  <c r="G39" i="20" s="1"/>
  <c r="H39" i="20" s="1"/>
  <c r="N137" i="10"/>
  <c r="M137" i="10"/>
  <c r="L135" i="10"/>
  <c r="L136" i="10" s="1"/>
  <c r="L137" i="10" s="1"/>
  <c r="K136" i="10"/>
  <c r="K137" i="10" s="1"/>
  <c r="J135" i="10"/>
  <c r="J136" i="10" s="1"/>
  <c r="J137" i="10" s="1"/>
  <c r="I136" i="10"/>
  <c r="I137" i="10" s="1"/>
  <c r="H135" i="10"/>
  <c r="H136" i="10" s="1"/>
  <c r="H137" i="10" s="1"/>
  <c r="G136" i="10"/>
  <c r="G137" i="10" s="1"/>
  <c r="F135" i="10"/>
  <c r="F136" i="10" s="1"/>
  <c r="F137" i="10" s="1"/>
  <c r="D135" i="10"/>
  <c r="D136" i="10" s="1"/>
  <c r="D137" i="10" s="1"/>
  <c r="O132" i="10"/>
  <c r="O133" i="10" s="1"/>
  <c r="N134" i="10"/>
  <c r="M134" i="10"/>
  <c r="L132" i="10"/>
  <c r="L133" i="10" s="1"/>
  <c r="K133" i="10"/>
  <c r="K134" i="10" s="1"/>
  <c r="J132" i="10"/>
  <c r="J133" i="10" s="1"/>
  <c r="I133" i="10"/>
  <c r="I134" i="10" s="1"/>
  <c r="H132" i="10"/>
  <c r="H133" i="10" s="1"/>
  <c r="G133" i="10"/>
  <c r="G134" i="10" s="1"/>
  <c r="F132" i="10"/>
  <c r="F133" i="10" s="1"/>
  <c r="D132" i="10"/>
  <c r="D133" i="10" s="1"/>
  <c r="O129" i="10"/>
  <c r="O130" i="10" s="1"/>
  <c r="O131" i="10" s="1"/>
  <c r="N131" i="10"/>
  <c r="M131" i="10"/>
  <c r="L129" i="10"/>
  <c r="L130" i="10" s="1"/>
  <c r="K130" i="10"/>
  <c r="K131" i="10" s="1"/>
  <c r="J129" i="10"/>
  <c r="J130" i="10" s="1"/>
  <c r="E45" i="34" s="1"/>
  <c r="I130" i="10"/>
  <c r="I131" i="10" s="1"/>
  <c r="H129" i="10"/>
  <c r="H130" i="10" s="1"/>
  <c r="G130" i="10"/>
  <c r="G131" i="10" s="1"/>
  <c r="F129" i="10"/>
  <c r="F130" i="10" s="1"/>
  <c r="C45" i="34" s="1"/>
  <c r="D129" i="10"/>
  <c r="D130" i="1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G44" i="34" s="1"/>
  <c r="J44" i="34" s="1"/>
  <c r="N125" i="10"/>
  <c r="M125" i="10"/>
  <c r="L123" i="10"/>
  <c r="L124" i="10" s="1"/>
  <c r="F44" i="34" s="1"/>
  <c r="K124" i="10"/>
  <c r="K125" i="10" s="1"/>
  <c r="J123" i="10"/>
  <c r="J124" i="10" s="1"/>
  <c r="I124" i="10"/>
  <c r="I125" i="10" s="1"/>
  <c r="H123" i="10"/>
  <c r="H124" i="10" s="1"/>
  <c r="D44" i="34" s="1"/>
  <c r="G124" i="10"/>
  <c r="G125" i="10" s="1"/>
  <c r="F123" i="10"/>
  <c r="F124" i="10" s="1"/>
  <c r="C44" i="34" s="1"/>
  <c r="D123" i="10"/>
  <c r="D124" i="10" s="1"/>
  <c r="B44" i="34"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s="1"/>
  <c r="J114" i="10"/>
  <c r="J115" i="10" s="1"/>
  <c r="I115" i="10"/>
  <c r="I116" i="10" s="1"/>
  <c r="H114" i="10"/>
  <c r="H115" i="10" s="1"/>
  <c r="H116" i="10" s="1"/>
  <c r="G115" i="10"/>
  <c r="G116" i="10" s="1"/>
  <c r="F114" i="10"/>
  <c r="F115" i="10" s="1"/>
  <c r="C31" i="20" s="1"/>
  <c r="D114" i="10"/>
  <c r="D115" i="10" s="1"/>
  <c r="D116" i="10" s="1"/>
  <c r="N113" i="10"/>
  <c r="M113" i="10"/>
  <c r="L111" i="10"/>
  <c r="L112" i="10" s="1"/>
  <c r="K112" i="10"/>
  <c r="K113" i="10" s="1"/>
  <c r="J111" i="10"/>
  <c r="J112" i="10" s="1"/>
  <c r="E43" i="34" s="1"/>
  <c r="I112" i="10"/>
  <c r="I113" i="10" s="1"/>
  <c r="H111" i="10"/>
  <c r="H112" i="10" s="1"/>
  <c r="D43" i="34" s="1"/>
  <c r="G112" i="10"/>
  <c r="G113" i="10" s="1"/>
  <c r="F111" i="10"/>
  <c r="F112" i="10" s="1"/>
  <c r="D111" i="10"/>
  <c r="D112" i="10" s="1"/>
  <c r="B30" i="2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K106" i="10"/>
  <c r="K107" i="10" s="1"/>
  <c r="J105" i="10"/>
  <c r="J106" i="10" s="1"/>
  <c r="I106" i="10"/>
  <c r="I107" i="10" s="1"/>
  <c r="H105" i="10"/>
  <c r="H106" i="10" s="1"/>
  <c r="D42" i="34" s="1"/>
  <c r="G106" i="10"/>
  <c r="G107" i="10" s="1"/>
  <c r="F105" i="10"/>
  <c r="F106" i="10" s="1"/>
  <c r="C42" i="34" s="1"/>
  <c r="D105" i="10"/>
  <c r="D106" i="10" s="1"/>
  <c r="B42" i="34" s="1"/>
  <c r="N104" i="10"/>
  <c r="M104" i="10"/>
  <c r="L102" i="10"/>
  <c r="L103" i="10" s="1"/>
  <c r="F36" i="34" s="1"/>
  <c r="K103" i="10"/>
  <c r="K104" i="10" s="1"/>
  <c r="J102" i="10"/>
  <c r="J103" i="10" s="1"/>
  <c r="E36" i="34" s="1"/>
  <c r="I103" i="10"/>
  <c r="I104" i="10" s="1"/>
  <c r="H102" i="10"/>
  <c r="H103" i="10" s="1"/>
  <c r="G103" i="10"/>
  <c r="G104" i="10" s="1"/>
  <c r="F102" i="10"/>
  <c r="F103" i="10" s="1"/>
  <c r="C27" i="20" s="1"/>
  <c r="D102" i="10"/>
  <c r="D103" i="10" s="1"/>
  <c r="B36" i="34" s="1"/>
  <c r="N101" i="10"/>
  <c r="M101" i="10"/>
  <c r="L99" i="10"/>
  <c r="L100" i="10" s="1"/>
  <c r="L101" i="10" s="1"/>
  <c r="K100" i="10"/>
  <c r="K101" i="10" s="1"/>
  <c r="J99" i="10"/>
  <c r="J100" i="10" s="1"/>
  <c r="J101" i="10" s="1"/>
  <c r="I100" i="10"/>
  <c r="I101" i="10" s="1"/>
  <c r="H99" i="10"/>
  <c r="H100" i="10" s="1"/>
  <c r="H101" i="10" s="1"/>
  <c r="G100" i="10"/>
  <c r="G101" i="10" s="1"/>
  <c r="F99" i="10"/>
  <c r="F100" i="10" s="1"/>
  <c r="D99" i="10"/>
  <c r="D100" i="10" s="1"/>
  <c r="N98" i="10"/>
  <c r="M98" i="10"/>
  <c r="L96" i="10"/>
  <c r="L97" i="10" s="1"/>
  <c r="K97" i="10"/>
  <c r="K98" i="10" s="1"/>
  <c r="J96" i="10"/>
  <c r="J97" i="10" s="1"/>
  <c r="E35" i="34" s="1"/>
  <c r="I97" i="10"/>
  <c r="I98" i="10" s="1"/>
  <c r="H96" i="10"/>
  <c r="H97" i="10" s="1"/>
  <c r="D35" i="34" s="1"/>
  <c r="G97" i="10"/>
  <c r="G98" i="10" s="1"/>
  <c r="F96" i="10"/>
  <c r="F97" i="10" s="1"/>
  <c r="D96" i="10"/>
  <c r="D97" i="10" s="1"/>
  <c r="B35" i="34" s="1"/>
  <c r="N95" i="10"/>
  <c r="M95" i="10"/>
  <c r="L93" i="10"/>
  <c r="L94" i="10" s="1"/>
  <c r="L95" i="10" s="1"/>
  <c r="K94" i="10"/>
  <c r="K95" i="10" s="1"/>
  <c r="J93" i="10"/>
  <c r="J94" i="10" s="1"/>
  <c r="I94" i="10"/>
  <c r="I95" i="10" s="1"/>
  <c r="H93" i="10"/>
  <c r="H94" i="10" s="1"/>
  <c r="H95" i="10" s="1"/>
  <c r="G94" i="10"/>
  <c r="G95" i="10" s="1"/>
  <c r="F93" i="10"/>
  <c r="F94" i="10" s="1"/>
  <c r="D93" i="10"/>
  <c r="D94" i="10" s="1"/>
  <c r="B24" i="20" s="1"/>
  <c r="N92" i="10"/>
  <c r="M92" i="10"/>
  <c r="L90" i="10"/>
  <c r="L91" i="10" s="1"/>
  <c r="F34" i="34" s="1"/>
  <c r="K91" i="10"/>
  <c r="K92" i="10" s="1"/>
  <c r="J90" i="10"/>
  <c r="J91" i="10" s="1"/>
  <c r="I91" i="10"/>
  <c r="I92" i="10" s="1"/>
  <c r="H90" i="10"/>
  <c r="H91" i="10" s="1"/>
  <c r="D34" i="34" s="1"/>
  <c r="G91" i="10"/>
  <c r="G92" i="10" s="1"/>
  <c r="F90" i="10"/>
  <c r="F91" i="10" s="1"/>
  <c r="D90" i="10"/>
  <c r="D91" i="10" s="1"/>
  <c r="B34" i="34" s="1"/>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F21" i="20" s="1"/>
  <c r="K85" i="10"/>
  <c r="K86" i="10" s="1"/>
  <c r="J84" i="10"/>
  <c r="J85" i="10" s="1"/>
  <c r="I85" i="10"/>
  <c r="I86" i="10" s="1"/>
  <c r="H84" i="10"/>
  <c r="H85" i="10" s="1"/>
  <c r="D33" i="34" s="1"/>
  <c r="G85" i="10"/>
  <c r="G86" i="10" s="1"/>
  <c r="F84" i="10"/>
  <c r="F85" i="10" s="1"/>
  <c r="D84" i="10"/>
  <c r="D85" i="10" s="1"/>
  <c r="B33" i="34" s="1"/>
  <c r="O83" i="10"/>
  <c r="N83" i="10"/>
  <c r="M83" i="10"/>
  <c r="L81" i="10"/>
  <c r="L82" i="10" s="1"/>
  <c r="K82" i="10"/>
  <c r="K83" i="10" s="1"/>
  <c r="J81" i="10"/>
  <c r="J82" i="10" s="1"/>
  <c r="I82" i="10"/>
  <c r="I83" i="10" s="1"/>
  <c r="H81" i="10"/>
  <c r="H82" i="10" s="1"/>
  <c r="G82" i="10"/>
  <c r="G83" i="10" s="1"/>
  <c r="F81" i="10"/>
  <c r="F82" i="10" s="1"/>
  <c r="C20" i="20" s="1"/>
  <c r="D81" i="10"/>
  <c r="D82" i="10" s="1"/>
  <c r="N80" i="10"/>
  <c r="M80" i="10"/>
  <c r="L78" i="10"/>
  <c r="L79" i="10" s="1"/>
  <c r="F19" i="20" s="1"/>
  <c r="K79" i="10"/>
  <c r="K80" i="10" s="1"/>
  <c r="J78" i="10"/>
  <c r="J79" i="10" s="1"/>
  <c r="J80" i="10" s="1"/>
  <c r="I79" i="10"/>
  <c r="I80" i="10" s="1"/>
  <c r="H78" i="10"/>
  <c r="H79" i="10" s="1"/>
  <c r="D19" i="20" s="1"/>
  <c r="G79" i="10"/>
  <c r="G80" i="10" s="1"/>
  <c r="F78" i="10"/>
  <c r="F79" i="10" s="1"/>
  <c r="C19" i="20" s="1"/>
  <c r="D78" i="10"/>
  <c r="D79" i="10" s="1"/>
  <c r="N77" i="10"/>
  <c r="M77" i="10"/>
  <c r="L75" i="10"/>
  <c r="L76" i="10" s="1"/>
  <c r="K76" i="10"/>
  <c r="K77" i="10" s="1"/>
  <c r="J75" i="10"/>
  <c r="J76" i="10" s="1"/>
  <c r="E26" i="34" s="1"/>
  <c r="I76" i="10"/>
  <c r="I77" i="10" s="1"/>
  <c r="H75" i="10"/>
  <c r="H76" i="10" s="1"/>
  <c r="D26" i="34" s="1"/>
  <c r="G76" i="10"/>
  <c r="G77" i="10" s="1"/>
  <c r="F75" i="10"/>
  <c r="F76" i="10" s="1"/>
  <c r="C26" i="34" s="1"/>
  <c r="D75" i="10"/>
  <c r="D76" i="1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K70" i="10"/>
  <c r="K71" i="10" s="1"/>
  <c r="J69" i="10"/>
  <c r="J70" i="10" s="1"/>
  <c r="E25" i="34" s="1"/>
  <c r="I70" i="10"/>
  <c r="I71" i="10" s="1"/>
  <c r="H69" i="10"/>
  <c r="H70" i="10" s="1"/>
  <c r="D25" i="34" s="1"/>
  <c r="G70" i="10"/>
  <c r="G71" i="10" s="1"/>
  <c r="F69" i="10"/>
  <c r="F70" i="10" s="1"/>
  <c r="D69" i="10"/>
  <c r="D70" i="1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F23" i="34" s="1"/>
  <c r="K58" i="10"/>
  <c r="K59" i="10" s="1"/>
  <c r="J57" i="10"/>
  <c r="J58" i="10" s="1"/>
  <c r="I58" i="10"/>
  <c r="I59" i="10" s="1"/>
  <c r="H57" i="10"/>
  <c r="H58" i="10" s="1"/>
  <c r="H59" i="10" s="1"/>
  <c r="G58" i="10"/>
  <c r="G59" i="10" s="1"/>
  <c r="F57" i="10"/>
  <c r="F58" i="10" s="1"/>
  <c r="N56" i="10"/>
  <c r="M56" i="10"/>
  <c r="K55" i="10"/>
  <c r="K56" i="10" s="1"/>
  <c r="I55" i="10"/>
  <c r="I56" i="10" s="1"/>
  <c r="G55" i="10"/>
  <c r="G56" i="10" s="1"/>
  <c r="N53" i="10"/>
  <c r="M53" i="10"/>
  <c r="L51" i="10"/>
  <c r="L52" i="10" s="1"/>
  <c r="F22" i="34" s="1"/>
  <c r="K52" i="10"/>
  <c r="K53" i="10" s="1"/>
  <c r="J51" i="10"/>
  <c r="J52" i="10" s="1"/>
  <c r="E22" i="34" s="1"/>
  <c r="I52" i="10"/>
  <c r="I53" i="10" s="1"/>
  <c r="H51" i="10"/>
  <c r="H52" i="10" s="1"/>
  <c r="D22" i="34" s="1"/>
  <c r="G52" i="10"/>
  <c r="G53" i="10" s="1"/>
  <c r="F51" i="10"/>
  <c r="F52" i="10" s="1"/>
  <c r="C22" i="34" s="1"/>
  <c r="N50" i="10"/>
  <c r="M50" i="10"/>
  <c r="L48" i="10"/>
  <c r="L49" i="10" s="1"/>
  <c r="K49" i="10"/>
  <c r="K50" i="10" s="1"/>
  <c r="J48" i="10"/>
  <c r="J49" i="10" s="1"/>
  <c r="I49" i="10"/>
  <c r="I50" i="10" s="1"/>
  <c r="H48" i="10"/>
  <c r="H49" i="10" s="1"/>
  <c r="G49" i="10"/>
  <c r="G50" i="10" s="1"/>
  <c r="F48" i="10"/>
  <c r="F49" i="10" s="1"/>
  <c r="D48" i="10"/>
  <c r="D49" i="10" s="1"/>
  <c r="B9" i="20" s="1"/>
  <c r="N47" i="10"/>
  <c r="M47" i="10"/>
  <c r="K46" i="10"/>
  <c r="K47" i="10" s="1"/>
  <c r="I46" i="10"/>
  <c r="I47" i="10" s="1"/>
  <c r="F24" i="24"/>
  <c r="C10" i="24" s="1"/>
  <c r="C18" i="24" s="1"/>
  <c r="G46" i="10"/>
  <c r="G47" i="10" s="1"/>
  <c r="O42" i="10"/>
  <c r="O43" i="10" s="1"/>
  <c r="N44" i="10"/>
  <c r="M44" i="10"/>
  <c r="L42" i="10"/>
  <c r="L43" i="10" s="1"/>
  <c r="K43" i="10"/>
  <c r="K44" i="10" s="1"/>
  <c r="J42" i="10"/>
  <c r="J43" i="10" s="1"/>
  <c r="I43" i="10"/>
  <c r="I44" i="10" s="1"/>
  <c r="H42" i="10"/>
  <c r="H43" i="10" s="1"/>
  <c r="G43" i="10"/>
  <c r="G44" i="10" s="1"/>
  <c r="F42" i="10"/>
  <c r="F43" i="10" s="1"/>
  <c r="D42" i="10"/>
  <c r="D43" i="10" s="1"/>
  <c r="O36" i="10"/>
  <c r="O37" i="10" s="1"/>
  <c r="N38" i="10"/>
  <c r="M38" i="10"/>
  <c r="L36" i="10"/>
  <c r="L37" i="10" s="1"/>
  <c r="K37" i="10"/>
  <c r="K38" i="10" s="1"/>
  <c r="J36" i="10"/>
  <c r="J37" i="10" s="1"/>
  <c r="I37" i="10"/>
  <c r="I38" i="10" s="1"/>
  <c r="H36" i="10"/>
  <c r="H37" i="10" s="1"/>
  <c r="G37" i="10"/>
  <c r="G38" i="10" s="1"/>
  <c r="F36" i="10"/>
  <c r="F37" i="10" s="1"/>
  <c r="D36" i="10"/>
  <c r="D37" i="10" s="1"/>
  <c r="O33" i="10"/>
  <c r="O34" i="10" s="1"/>
  <c r="N35" i="10"/>
  <c r="M35" i="10"/>
  <c r="L33" i="10"/>
  <c r="L34" i="10" s="1"/>
  <c r="K34" i="10"/>
  <c r="K35" i="10" s="1"/>
  <c r="J33" i="10"/>
  <c r="J34" i="10" s="1"/>
  <c r="I34" i="10"/>
  <c r="I35" i="10" s="1"/>
  <c r="H33" i="10"/>
  <c r="H34" i="10" s="1"/>
  <c r="G34" i="10"/>
  <c r="G35" i="10" s="1"/>
  <c r="F33" i="10"/>
  <c r="F34" i="10" s="1"/>
  <c r="D33" i="10"/>
  <c r="D34" i="10" s="1"/>
  <c r="O30" i="10"/>
  <c r="O31" i="10" s="1"/>
  <c r="N32" i="10"/>
  <c r="M32" i="10"/>
  <c r="L30" i="10"/>
  <c r="L31" i="10" s="1"/>
  <c r="K31" i="10"/>
  <c r="K32" i="10" s="1"/>
  <c r="J30" i="10"/>
  <c r="J31" i="10" s="1"/>
  <c r="I31" i="10"/>
  <c r="I32" i="10" s="1"/>
  <c r="H30" i="10"/>
  <c r="H31" i="10" s="1"/>
  <c r="G31" i="10"/>
  <c r="G32" i="10" s="1"/>
  <c r="F30" i="10"/>
  <c r="F31" i="10" s="1"/>
  <c r="D30" i="10"/>
  <c r="D31"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E159" i="1" s="1"/>
  <c r="C158" i="1"/>
  <c r="E158" i="1" s="1"/>
  <c r="C157" i="1"/>
  <c r="C156" i="1"/>
  <c r="E156" i="1" s="1"/>
  <c r="C155" i="1"/>
  <c r="C151" i="1"/>
  <c r="C153" i="1"/>
  <c r="C152" i="1"/>
  <c r="C150" i="1"/>
  <c r="E150" i="1" s="1"/>
  <c r="C149" i="1"/>
  <c r="E149" i="1" s="1"/>
  <c r="C148" i="1"/>
  <c r="C147" i="1"/>
  <c r="C146" i="1"/>
  <c r="C145" i="1"/>
  <c r="E145" i="1" s="1"/>
  <c r="C119" i="1"/>
  <c r="E119" i="1" s="1"/>
  <c r="C131" i="1"/>
  <c r="E131" i="1" s="1"/>
  <c r="C130" i="1"/>
  <c r="C125" i="1"/>
  <c r="C124" i="1"/>
  <c r="F124" i="1" s="1"/>
  <c r="G124" i="1" s="1"/>
  <c r="H124" i="1" s="1"/>
  <c r="C123" i="1"/>
  <c r="C127" i="1" s="1"/>
  <c r="C122" i="1"/>
  <c r="E122" i="1" s="1"/>
  <c r="C121" i="1"/>
  <c r="E121" i="1" s="1"/>
  <c r="C120" i="1"/>
  <c r="C118" i="1"/>
  <c r="E118" i="1" s="1"/>
  <c r="I58" i="24"/>
  <c r="I57" i="24"/>
  <c r="E32" i="20"/>
  <c r="I52" i="24"/>
  <c r="I51" i="24"/>
  <c r="I46" i="24"/>
  <c r="I45" i="24"/>
  <c r="I40" i="24"/>
  <c r="I39" i="24"/>
  <c r="I34" i="24"/>
  <c r="I33" i="24"/>
  <c r="I32" i="24"/>
  <c r="I31" i="24"/>
  <c r="I30" i="24"/>
  <c r="F23" i="24"/>
  <c r="G92" i="20"/>
  <c r="G91" i="20"/>
  <c r="F90" i="20"/>
  <c r="G79"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29" i="13"/>
  <c r="E29" i="13"/>
  <c r="D28" i="13"/>
  <c r="F28" i="13" s="1"/>
  <c r="C28" i="13"/>
  <c r="E28" i="13" s="1"/>
  <c r="D27" i="13"/>
  <c r="F27" i="13" s="1"/>
  <c r="C27" i="13"/>
  <c r="E27" i="13" s="1"/>
  <c r="D25" i="13"/>
  <c r="F25" i="13" s="1"/>
  <c r="D26" i="13"/>
  <c r="F26" i="13" s="1"/>
  <c r="C26" i="13"/>
  <c r="E26" i="13" s="1"/>
  <c r="D24" i="13"/>
  <c r="C24" i="13"/>
  <c r="E24" i="13" s="1"/>
  <c r="D23" i="13"/>
  <c r="F23" i="13" s="1"/>
  <c r="E23" i="13"/>
  <c r="D22" i="13"/>
  <c r="F22" i="13" s="1"/>
  <c r="C25" i="13"/>
  <c r="E25" i="13" s="1"/>
  <c r="F21" i="13"/>
  <c r="F29" i="1"/>
  <c r="I29" i="1"/>
  <c r="H29" i="1"/>
  <c r="G29" i="1"/>
  <c r="E29" i="1"/>
  <c r="D29" i="1"/>
  <c r="F99" i="1"/>
  <c r="A48" i="13"/>
  <c r="E38" i="13"/>
  <c r="E37" i="13"/>
  <c r="F24" i="13"/>
  <c r="E22" i="13"/>
  <c r="F12" i="13"/>
  <c r="E12" i="13"/>
  <c r="F11" i="13"/>
  <c r="E11" i="13"/>
  <c r="F10" i="13"/>
  <c r="A106" i="1"/>
  <c r="D9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F44" i="1"/>
  <c r="E21" i="11"/>
  <c r="A133" i="1"/>
  <c r="F143" i="1"/>
  <c r="F116" i="1"/>
  <c r="I76" i="1"/>
  <c r="I82" i="1"/>
  <c r="D44" i="1"/>
  <c r="B44" i="1"/>
  <c r="E19" i="1"/>
  <c r="D9" i="1"/>
  <c r="G9" i="1"/>
  <c r="E9" i="1"/>
  <c r="H9" i="11"/>
  <c r="F9" i="11"/>
  <c r="D9" i="11"/>
  <c r="B9" i="11"/>
  <c r="F151" i="1"/>
  <c r="G151" i="1" s="1"/>
  <c r="H151" i="1" s="1"/>
  <c r="D17" i="20"/>
  <c r="H74" i="10"/>
  <c r="O80" i="10"/>
  <c r="E38" i="20"/>
  <c r="D47" i="10"/>
  <c r="H92" i="10"/>
  <c r="D23" i="20"/>
  <c r="H56" i="10"/>
  <c r="C126" i="1"/>
  <c r="O59" i="10"/>
  <c r="E22" i="20"/>
  <c r="E19" i="20"/>
  <c r="O116" i="10"/>
  <c r="F145" i="1"/>
  <c r="G145" i="1" s="1"/>
  <c r="H145" i="1" s="1"/>
  <c r="F116" i="10"/>
  <c r="F12" i="20"/>
  <c r="O65" i="10"/>
  <c r="G11" i="32"/>
  <c r="I11" i="32" s="1"/>
  <c r="G14" i="20"/>
  <c r="H14" i="20" s="1"/>
  <c r="C22" i="20"/>
  <c r="F89" i="10"/>
  <c r="G8" i="20"/>
  <c r="H8" i="20" s="1"/>
  <c r="F40" i="20" l="1"/>
  <c r="G12" i="33"/>
  <c r="J12" i="33" s="1"/>
  <c r="H12" i="33" s="1"/>
  <c r="F31" i="20"/>
  <c r="D125" i="10"/>
  <c r="B37" i="20"/>
  <c r="F23" i="20"/>
  <c r="L92" i="10"/>
  <c r="J131" i="10"/>
  <c r="F39" i="20"/>
  <c r="O47" i="10"/>
  <c r="E127" i="1"/>
  <c r="F127" i="1"/>
  <c r="G127" i="1" s="1"/>
  <c r="H127" i="1" s="1"/>
  <c r="F157" i="1"/>
  <c r="G157" i="1" s="1"/>
  <c r="H157" i="1" s="1"/>
  <c r="E157" i="1"/>
  <c r="F130" i="1"/>
  <c r="G130" i="1" s="1"/>
  <c r="H130" i="1" s="1"/>
  <c r="E130" i="1"/>
  <c r="F126" i="1"/>
  <c r="G126" i="1" s="1"/>
  <c r="H126" i="1" s="1"/>
  <c r="E126" i="1"/>
  <c r="F152" i="1"/>
  <c r="G152" i="1" s="1"/>
  <c r="H152" i="1" s="1"/>
  <c r="E152" i="1"/>
  <c r="F153" i="1"/>
  <c r="G153" i="1" s="1"/>
  <c r="H153" i="1" s="1"/>
  <c r="E153" i="1"/>
  <c r="C154" i="1"/>
  <c r="E154" i="1" s="1"/>
  <c r="E151" i="1"/>
  <c r="F131" i="1"/>
  <c r="G131" i="1" s="1"/>
  <c r="H131" i="1" s="1"/>
  <c r="F121" i="1"/>
  <c r="G121" i="1" s="1"/>
  <c r="H121" i="1" s="1"/>
  <c r="F146" i="1"/>
  <c r="G146" i="1" s="1"/>
  <c r="H146" i="1" s="1"/>
  <c r="E146" i="1"/>
  <c r="F155" i="1"/>
  <c r="G155" i="1" s="1"/>
  <c r="H155" i="1" s="1"/>
  <c r="E155" i="1"/>
  <c r="C129" i="1"/>
  <c r="E129" i="1" s="1"/>
  <c r="E125" i="1"/>
  <c r="F120" i="1"/>
  <c r="G120" i="1" s="1"/>
  <c r="H120" i="1" s="1"/>
  <c r="E120" i="1"/>
  <c r="F149" i="1"/>
  <c r="G149" i="1" s="1"/>
  <c r="H149" i="1" s="1"/>
  <c r="F123" i="1"/>
  <c r="G123" i="1" s="1"/>
  <c r="H123" i="1" s="1"/>
  <c r="E123" i="1"/>
  <c r="F147" i="1"/>
  <c r="G147" i="1" s="1"/>
  <c r="H147" i="1" s="1"/>
  <c r="E147" i="1"/>
  <c r="F156" i="1"/>
  <c r="G156" i="1" s="1"/>
  <c r="H156" i="1" s="1"/>
  <c r="C128" i="1"/>
  <c r="E128" i="1" s="1"/>
  <c r="E124" i="1"/>
  <c r="F148" i="1"/>
  <c r="G148" i="1" s="1"/>
  <c r="H148" i="1" s="1"/>
  <c r="E148" i="1"/>
  <c r="C40" i="20"/>
  <c r="H80" i="10"/>
  <c r="C37" i="20"/>
  <c r="F125" i="10"/>
  <c r="H68" i="10"/>
  <c r="B23" i="20"/>
  <c r="G10" i="33"/>
  <c r="D83" i="13"/>
  <c r="E83" i="13" s="1"/>
  <c r="F83" i="13" s="1"/>
  <c r="G83" i="13" s="1"/>
  <c r="C83" i="13"/>
  <c r="D79" i="13"/>
  <c r="E79" i="13" s="1"/>
  <c r="F79" i="13" s="1"/>
  <c r="G79" i="13" s="1"/>
  <c r="C79" i="13"/>
  <c r="D75" i="13"/>
  <c r="E75" i="13" s="1"/>
  <c r="F75" i="13" s="1"/>
  <c r="G75" i="13" s="1"/>
  <c r="C75" i="13"/>
  <c r="D71" i="13"/>
  <c r="E71" i="13" s="1"/>
  <c r="F71" i="13" s="1"/>
  <c r="G71" i="13" s="1"/>
  <c r="C71" i="13"/>
  <c r="D86" i="13"/>
  <c r="E86" i="13" s="1"/>
  <c r="F86" i="13" s="1"/>
  <c r="G86" i="13" s="1"/>
  <c r="C86" i="13"/>
  <c r="D82" i="13"/>
  <c r="E82" i="13" s="1"/>
  <c r="F82" i="13" s="1"/>
  <c r="G82" i="13" s="1"/>
  <c r="C82" i="13"/>
  <c r="D78" i="13"/>
  <c r="E78" i="13" s="1"/>
  <c r="F78" i="13" s="1"/>
  <c r="G78" i="13" s="1"/>
  <c r="C78" i="13"/>
  <c r="D74" i="13"/>
  <c r="E74" i="13" s="1"/>
  <c r="F74" i="13" s="1"/>
  <c r="G74" i="13" s="1"/>
  <c r="C74" i="13"/>
  <c r="D70" i="13"/>
  <c r="E70" i="13" s="1"/>
  <c r="F70" i="13" s="1"/>
  <c r="G70" i="13" s="1"/>
  <c r="C70" i="13"/>
  <c r="D73" i="13"/>
  <c r="E73" i="13" s="1"/>
  <c r="F73" i="13" s="1"/>
  <c r="G73" i="13" s="1"/>
  <c r="C73" i="13"/>
  <c r="D69" i="13"/>
  <c r="E69" i="13" s="1"/>
  <c r="F69" i="13" s="1"/>
  <c r="G69" i="13" s="1"/>
  <c r="C69" i="13"/>
  <c r="D81" i="13"/>
  <c r="E81" i="13" s="1"/>
  <c r="F81" i="13" s="1"/>
  <c r="G81" i="13" s="1"/>
  <c r="C81" i="13"/>
  <c r="D84" i="13"/>
  <c r="E84" i="13" s="1"/>
  <c r="F84" i="13" s="1"/>
  <c r="G84" i="13" s="1"/>
  <c r="C84" i="13"/>
  <c r="D80" i="13"/>
  <c r="E80" i="13" s="1"/>
  <c r="F80" i="13" s="1"/>
  <c r="G80" i="13" s="1"/>
  <c r="C80" i="13"/>
  <c r="D76" i="13"/>
  <c r="E76" i="13" s="1"/>
  <c r="F76" i="13" s="1"/>
  <c r="G76" i="13" s="1"/>
  <c r="C76" i="13"/>
  <c r="D72" i="13"/>
  <c r="E72" i="13" s="1"/>
  <c r="F72" i="13" s="1"/>
  <c r="G72" i="13" s="1"/>
  <c r="C72" i="13"/>
  <c r="D68" i="13"/>
  <c r="E68" i="13" s="1"/>
  <c r="F68" i="13" s="1"/>
  <c r="G68" i="13" s="1"/>
  <c r="C68" i="13"/>
  <c r="D65" i="10"/>
  <c r="O101" i="10"/>
  <c r="B22" i="20"/>
  <c r="O113" i="10"/>
  <c r="G10" i="32"/>
  <c r="I10" i="32" s="1"/>
  <c r="O62" i="10"/>
  <c r="O56" i="10"/>
  <c r="G11" i="20"/>
  <c r="H11" i="20" s="1"/>
  <c r="G30" i="20"/>
  <c r="H30" i="20" s="1"/>
  <c r="J95" i="10"/>
  <c r="E24" i="20"/>
  <c r="B10" i="24"/>
  <c r="B18" i="24" s="1"/>
  <c r="F119" i="1"/>
  <c r="G119" i="1" s="1"/>
  <c r="H119" i="1" s="1"/>
  <c r="F62" i="10"/>
  <c r="F150" i="1"/>
  <c r="G150" i="1" s="1"/>
  <c r="H150" i="1" s="1"/>
  <c r="C13" i="33"/>
  <c r="F122" i="1"/>
  <c r="G122" i="1" s="1"/>
  <c r="H122" i="1" s="1"/>
  <c r="G25" i="20"/>
  <c r="H25" i="20" s="1"/>
  <c r="J86" i="10"/>
  <c r="E33" i="34"/>
  <c r="D9" i="20"/>
  <c r="H50" i="10"/>
  <c r="F50" i="10"/>
  <c r="C9" i="20"/>
  <c r="F32" i="10"/>
  <c r="C11" i="34"/>
  <c r="D44" i="10"/>
  <c r="B15" i="34"/>
  <c r="F16" i="20"/>
  <c r="F25" i="34"/>
  <c r="F98" i="10"/>
  <c r="C35" i="34"/>
  <c r="H131" i="10"/>
  <c r="D45" i="34"/>
  <c r="D11" i="32"/>
  <c r="D24" i="34"/>
  <c r="D41" i="10"/>
  <c r="B14" i="34"/>
  <c r="L35" i="10"/>
  <c r="F12" i="34"/>
  <c r="J92" i="10"/>
  <c r="E34" i="34"/>
  <c r="F113" i="10"/>
  <c r="C43" i="34"/>
  <c r="G21" i="20"/>
  <c r="H21" i="20" s="1"/>
  <c r="G33" i="34"/>
  <c r="J33" i="34" s="1"/>
  <c r="O41" i="10"/>
  <c r="G14" i="34"/>
  <c r="J14" i="34" s="1"/>
  <c r="O35" i="10"/>
  <c r="G12" i="34"/>
  <c r="J12" i="34" s="1"/>
  <c r="L38" i="10"/>
  <c r="F13" i="34"/>
  <c r="L44" i="10"/>
  <c r="F15" i="34"/>
  <c r="D113" i="10"/>
  <c r="B43" i="34"/>
  <c r="J125" i="10"/>
  <c r="E44" i="34"/>
  <c r="F38" i="20"/>
  <c r="F45" i="34"/>
  <c r="F47" i="10"/>
  <c r="C16" i="34"/>
  <c r="G18" i="20"/>
  <c r="H18" i="20" s="1"/>
  <c r="G26" i="34"/>
  <c r="J26" i="34" s="1"/>
  <c r="H41" i="10"/>
  <c r="D14" i="34"/>
  <c r="H16" i="34"/>
  <c r="I16" i="34"/>
  <c r="D12" i="33"/>
  <c r="D92" i="10"/>
  <c r="E39" i="20"/>
  <c r="O32" i="10"/>
  <c r="G11" i="34"/>
  <c r="J11" i="34" s="1"/>
  <c r="D38" i="10"/>
  <c r="B13" i="34"/>
  <c r="B18" i="20"/>
  <c r="B26" i="34"/>
  <c r="H83" i="10"/>
  <c r="D27" i="34"/>
  <c r="H104" i="10"/>
  <c r="D36" i="34"/>
  <c r="J107" i="10"/>
  <c r="E42" i="34"/>
  <c r="H44" i="34"/>
  <c r="I44" i="34"/>
  <c r="B38" i="20"/>
  <c r="B45" i="34"/>
  <c r="J134" i="10"/>
  <c r="E46" i="34"/>
  <c r="E11" i="32"/>
  <c r="E24" i="34"/>
  <c r="I42" i="34"/>
  <c r="H42" i="34"/>
  <c r="O98" i="10"/>
  <c r="E11" i="24"/>
  <c r="J65" i="10"/>
  <c r="B27" i="20"/>
  <c r="D62" i="10"/>
  <c r="C39" i="20"/>
  <c r="D37" i="20"/>
  <c r="H32" i="10"/>
  <c r="D11" i="34"/>
  <c r="L32" i="10"/>
  <c r="F11" i="34"/>
  <c r="D35" i="10"/>
  <c r="B12" i="34"/>
  <c r="F38" i="10"/>
  <c r="C13" i="34"/>
  <c r="J38" i="10"/>
  <c r="E13" i="34"/>
  <c r="J44" i="10"/>
  <c r="E15" i="34"/>
  <c r="F71" i="10"/>
  <c r="C25" i="34"/>
  <c r="D83" i="10"/>
  <c r="B27" i="34"/>
  <c r="F86" i="10"/>
  <c r="C33" i="34"/>
  <c r="F104" i="10"/>
  <c r="C36" i="34"/>
  <c r="O134" i="10"/>
  <c r="G46" i="34"/>
  <c r="J46" i="34" s="1"/>
  <c r="B12" i="20"/>
  <c r="B23" i="34"/>
  <c r="I36" i="34"/>
  <c r="H36" i="34"/>
  <c r="G20" i="20"/>
  <c r="H20" i="20" s="1"/>
  <c r="G27" i="34"/>
  <c r="J27" i="34" s="1"/>
  <c r="H25" i="34"/>
  <c r="I25" i="34"/>
  <c r="J41" i="10"/>
  <c r="E14" i="34"/>
  <c r="F41" i="10"/>
  <c r="C14" i="34"/>
  <c r="I24" i="34"/>
  <c r="H24" i="34"/>
  <c r="J32" i="10"/>
  <c r="E11" i="34"/>
  <c r="H38" i="10"/>
  <c r="D13" i="34"/>
  <c r="H44" i="10"/>
  <c r="D15" i="34"/>
  <c r="C12" i="20"/>
  <c r="C23" i="34"/>
  <c r="F18" i="20"/>
  <c r="F26" i="34"/>
  <c r="D134" i="10"/>
  <c r="B46" i="34"/>
  <c r="L41" i="10"/>
  <c r="F14" i="34"/>
  <c r="F80" i="10"/>
  <c r="H35" i="10"/>
  <c r="D12" i="34"/>
  <c r="F44" i="10"/>
  <c r="C15" i="34"/>
  <c r="E12" i="20"/>
  <c r="E23" i="34"/>
  <c r="B16" i="20"/>
  <c r="B25" i="34"/>
  <c r="L83" i="10"/>
  <c r="F27" i="34"/>
  <c r="L86" i="10"/>
  <c r="F33" i="34"/>
  <c r="F92" i="10"/>
  <c r="C34" i="34"/>
  <c r="F134" i="10"/>
  <c r="C46" i="34"/>
  <c r="C10" i="33"/>
  <c r="D8" i="20"/>
  <c r="D16" i="34"/>
  <c r="I35" i="34"/>
  <c r="H35" i="34"/>
  <c r="G12" i="20"/>
  <c r="H12" i="20" s="1"/>
  <c r="G23" i="34"/>
  <c r="J23" i="34" s="1"/>
  <c r="G9" i="32"/>
  <c r="I9" i="32" s="1"/>
  <c r="O74" i="10"/>
  <c r="L59" i="10"/>
  <c r="E11" i="20"/>
  <c r="F20" i="20"/>
  <c r="E14" i="20"/>
  <c r="D104" i="10"/>
  <c r="H125" i="10"/>
  <c r="G10" i="24"/>
  <c r="J10" i="24" s="1"/>
  <c r="H10" i="24" s="1"/>
  <c r="C30" i="20"/>
  <c r="F22" i="20"/>
  <c r="D32" i="10"/>
  <c r="B11" i="34"/>
  <c r="F35" i="10"/>
  <c r="C12" i="34"/>
  <c r="J35" i="10"/>
  <c r="E12" i="34"/>
  <c r="O38" i="10"/>
  <c r="G13" i="34"/>
  <c r="J13" i="34" s="1"/>
  <c r="O44" i="10"/>
  <c r="G15" i="34"/>
  <c r="J15" i="34" s="1"/>
  <c r="D12" i="20"/>
  <c r="D23" i="34"/>
  <c r="F83" i="10"/>
  <c r="C27" i="34"/>
  <c r="J83" i="10"/>
  <c r="E27" i="34"/>
  <c r="O89" i="10"/>
  <c r="L98" i="10"/>
  <c r="F35" i="34"/>
  <c r="L107" i="10"/>
  <c r="F42" i="34"/>
  <c r="L113" i="10"/>
  <c r="F43" i="34"/>
  <c r="G38" i="20"/>
  <c r="H38" i="20" s="1"/>
  <c r="G45" i="34"/>
  <c r="J45" i="34" s="1"/>
  <c r="H134" i="10"/>
  <c r="D46" i="34"/>
  <c r="L134" i="10"/>
  <c r="F46" i="34"/>
  <c r="B8" i="20"/>
  <c r="B16" i="34"/>
  <c r="F65" i="10"/>
  <c r="C24" i="34"/>
  <c r="B10" i="20"/>
  <c r="B22" i="34"/>
  <c r="G10" i="20"/>
  <c r="H10" i="20" s="1"/>
  <c r="G22" i="34"/>
  <c r="H43" i="34"/>
  <c r="I43" i="34"/>
  <c r="I34" i="34"/>
  <c r="H34" i="34"/>
  <c r="F128" i="1"/>
  <c r="G128" i="1" s="1"/>
  <c r="H128" i="1" s="1"/>
  <c r="B19" i="20"/>
  <c r="D80" i="10"/>
  <c r="F11" i="32"/>
  <c r="L65" i="10"/>
  <c r="F12" i="24"/>
  <c r="F14" i="20"/>
  <c r="E29" i="20"/>
  <c r="J110" i="10"/>
  <c r="D86" i="10"/>
  <c r="B21" i="20"/>
  <c r="D85" i="13"/>
  <c r="D77" i="13"/>
  <c r="D67" i="13"/>
  <c r="F74" i="10"/>
  <c r="D39" i="20"/>
  <c r="F125" i="1"/>
  <c r="G125" i="1" s="1"/>
  <c r="H125" i="1" s="1"/>
  <c r="E26" i="20"/>
  <c r="B10" i="33"/>
  <c r="L62" i="10"/>
  <c r="D31" i="20"/>
  <c r="D95" i="10"/>
  <c r="D131" i="10"/>
  <c r="O137" i="10"/>
  <c r="F118" i="1"/>
  <c r="G118" i="1" s="1"/>
  <c r="H118" i="1" s="1"/>
  <c r="D26" i="20"/>
  <c r="E28" i="20"/>
  <c r="F26" i="20"/>
  <c r="D53" i="10"/>
  <c r="D59" i="10"/>
  <c r="O95" i="10"/>
  <c r="C9" i="32"/>
  <c r="C17" i="32" s="1"/>
  <c r="C11" i="32"/>
  <c r="L131" i="10"/>
  <c r="E21" i="20"/>
  <c r="D13" i="33"/>
  <c r="D71" i="10"/>
  <c r="L71" i="10"/>
  <c r="D119" i="10"/>
  <c r="D149" i="10"/>
  <c r="F159" i="1"/>
  <c r="G159" i="1" s="1"/>
  <c r="H159" i="1" s="1"/>
  <c r="E20" i="20"/>
  <c r="F28" i="20"/>
  <c r="D10" i="24"/>
  <c r="D18" i="24" s="1"/>
  <c r="E34" i="11"/>
  <c r="F34" i="11" s="1"/>
  <c r="B11" i="20"/>
  <c r="B12" i="33"/>
  <c r="B10" i="32"/>
  <c r="D56" i="10"/>
  <c r="B11" i="24"/>
  <c r="B28" i="20"/>
  <c r="D107" i="10"/>
  <c r="B25" i="20"/>
  <c r="D98" i="10"/>
  <c r="L104" i="10"/>
  <c r="F27" i="20"/>
  <c r="D110" i="10"/>
  <c r="B29" i="20"/>
  <c r="G9" i="20"/>
  <c r="H9" i="20" s="1"/>
  <c r="O50" i="10"/>
  <c r="B17" i="20"/>
  <c r="D74" i="10"/>
  <c r="F15" i="20"/>
  <c r="L68" i="10"/>
  <c r="F13" i="33"/>
  <c r="C38"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10" i="24"/>
  <c r="E18" i="24" s="1"/>
  <c r="D101" i="10"/>
  <c r="B26" i="20"/>
  <c r="C10" i="20"/>
  <c r="F53" i="10"/>
  <c r="L47" i="10"/>
  <c r="F8" i="20"/>
  <c r="F10" i="33"/>
  <c r="F9" i="32"/>
  <c r="F17" i="32" s="1"/>
  <c r="F10" i="24"/>
  <c r="F18" i="24" s="1"/>
  <c r="G40" i="20"/>
  <c r="H40" i="20" s="1"/>
  <c r="O149" i="10"/>
  <c r="E9" i="20"/>
  <c r="J50" i="10"/>
  <c r="J116" i="10"/>
  <c r="E31" i="20"/>
  <c r="L125" i="10"/>
  <c r="F37" i="20"/>
  <c r="D27" i="20"/>
  <c r="F32" i="20"/>
  <c r="D20" i="20"/>
  <c r="E12" i="33"/>
  <c r="J56" i="10"/>
  <c r="E9" i="32"/>
  <c r="E17" i="32" s="1"/>
  <c r="E10" i="33"/>
  <c r="G29" i="20"/>
  <c r="H29" i="20" s="1"/>
  <c r="O110" i="10"/>
  <c r="G23" i="20"/>
  <c r="H23" i="20" s="1"/>
  <c r="O92" i="10"/>
  <c r="B20" i="20"/>
  <c r="E37" i="20"/>
  <c r="F68" i="10"/>
  <c r="C16" i="20"/>
  <c r="J59" i="10"/>
  <c r="D38" i="20"/>
  <c r="H149" i="10"/>
  <c r="C12" i="33"/>
  <c r="D77" i="10"/>
  <c r="D50" i="10"/>
  <c r="E13" i="20"/>
  <c r="C23" i="20"/>
  <c r="D24" i="20"/>
  <c r="E23" i="20"/>
  <c r="F24" i="20"/>
  <c r="F29" i="20"/>
  <c r="B12" i="24"/>
  <c r="D9" i="32"/>
  <c r="D17" i="32" s="1"/>
  <c r="B28" i="16"/>
  <c r="E28" i="16" s="1"/>
  <c r="F9" i="16"/>
  <c r="J74" i="10"/>
  <c r="E17" i="20"/>
  <c r="E25" i="20"/>
  <c r="J98" i="10"/>
  <c r="J104" i="10"/>
  <c r="E27" i="20"/>
  <c r="F119" i="10"/>
  <c r="C32" i="20"/>
  <c r="F10" i="20"/>
  <c r="L53" i="10"/>
  <c r="F77" i="10"/>
  <c r="C18" i="20"/>
  <c r="F95" i="10"/>
  <c r="C24" i="20"/>
  <c r="H98" i="10"/>
  <c r="D25" i="20"/>
  <c r="H110" i="10"/>
  <c r="D29" i="20"/>
  <c r="F10" i="16"/>
  <c r="B29" i="16"/>
  <c r="E29" i="16" s="1"/>
  <c r="F154" i="1"/>
  <c r="G154" i="1" s="1"/>
  <c r="H154" i="1" s="1"/>
  <c r="J53" i="10"/>
  <c r="E10" i="20"/>
  <c r="E18" i="20"/>
  <c r="J77" i="10"/>
  <c r="H86" i="10"/>
  <c r="D21" i="20"/>
  <c r="E30" i="20"/>
  <c r="J113" i="10"/>
  <c r="F8" i="16"/>
  <c r="B27" i="16"/>
  <c r="E27" i="16" s="1"/>
  <c r="B30" i="16"/>
  <c r="E30" i="16" s="1"/>
  <c r="F11" i="16"/>
  <c r="H53" i="10"/>
  <c r="D10" i="20"/>
  <c r="H113" i="10"/>
  <c r="D30" i="20"/>
  <c r="D32" i="20"/>
  <c r="H119" i="10"/>
  <c r="G37" i="20"/>
  <c r="H37" i="20" s="1"/>
  <c r="O125" i="10"/>
  <c r="D10" i="33"/>
  <c r="D10" i="32"/>
  <c r="L80" i="10"/>
  <c r="H47" i="10"/>
  <c r="D11" i="20"/>
  <c r="F59" i="10"/>
  <c r="B31" i="20"/>
  <c r="L77" i="10"/>
  <c r="L74" i="10"/>
  <c r="I10" i="24"/>
  <c r="G12" i="24"/>
  <c r="J12" i="24" s="1"/>
  <c r="C116" i="1"/>
  <c r="F158" i="1"/>
  <c r="G158" i="1" s="1"/>
  <c r="H158" i="1" s="1"/>
  <c r="C29" i="20"/>
  <c r="B11" i="32"/>
  <c r="B14" i="20"/>
  <c r="B15" i="20"/>
  <c r="H89" i="10"/>
  <c r="E40" i="20"/>
  <c r="D12" i="24"/>
  <c r="C12" i="24"/>
  <c r="C25" i="20"/>
  <c r="F25" i="20"/>
  <c r="G32" i="20"/>
  <c r="H32" i="20" s="1"/>
  <c r="O119" i="10"/>
  <c r="G28" i="20"/>
  <c r="H28" i="20" s="1"/>
  <c r="O107" i="10"/>
  <c r="E15" i="20"/>
  <c r="B39" i="20"/>
  <c r="E12" i="24"/>
  <c r="J68" i="10"/>
  <c r="D14" i="20"/>
  <c r="I11" i="24"/>
  <c r="C21" i="20"/>
  <c r="F30" i="20"/>
  <c r="G16" i="20"/>
  <c r="H16" i="20" s="1"/>
  <c r="O71" i="10"/>
  <c r="G27" i="20"/>
  <c r="H27" i="20" s="1"/>
  <c r="O104" i="10"/>
  <c r="J13" i="33"/>
  <c r="G15" i="20"/>
  <c r="H15" i="20" s="1"/>
  <c r="G34" i="11"/>
  <c r="H34" i="11" s="1"/>
  <c r="I12" i="33" l="1"/>
  <c r="J10" i="33"/>
  <c r="H10" i="33" s="1"/>
  <c r="F129" i="1"/>
  <c r="G129" i="1" s="1"/>
  <c r="H129" i="1" s="1"/>
  <c r="C86" i="20"/>
  <c r="C85" i="20"/>
  <c r="F86" i="20"/>
  <c r="F85" i="20"/>
  <c r="E86" i="20"/>
  <c r="E85" i="20"/>
  <c r="B86" i="20"/>
  <c r="D86" i="20"/>
  <c r="D85" i="20"/>
  <c r="I13" i="33"/>
  <c r="H13" i="33"/>
  <c r="E67" i="13"/>
  <c r="F67" i="13" s="1"/>
  <c r="G67" i="13" s="1"/>
  <c r="E77" i="13"/>
  <c r="F77" i="13" s="1"/>
  <c r="G77" i="13" s="1"/>
  <c r="E85" i="13"/>
  <c r="F85" i="13" s="1"/>
  <c r="G85" i="13" s="1"/>
  <c r="I13" i="34"/>
  <c r="H13" i="34"/>
  <c r="H12" i="34"/>
  <c r="I12" i="34"/>
  <c r="H33" i="34"/>
  <c r="I33" i="34"/>
  <c r="H27" i="34"/>
  <c r="I27" i="34"/>
  <c r="I11" i="34"/>
  <c r="H11" i="34"/>
  <c r="H15" i="34"/>
  <c r="I15" i="34"/>
  <c r="I26" i="34"/>
  <c r="H26" i="34"/>
  <c r="I14" i="34"/>
  <c r="H14" i="34"/>
  <c r="I22" i="34"/>
  <c r="I45" i="34"/>
  <c r="H45" i="34"/>
  <c r="I23" i="34"/>
  <c r="H23" i="34"/>
  <c r="H46" i="34"/>
  <c r="I46" i="34"/>
  <c r="H12" i="24"/>
  <c r="I12" i="24"/>
  <c r="D30" i="16"/>
  <c r="C30" i="16"/>
  <c r="D27" i="16"/>
  <c r="C27" i="16"/>
  <c r="D29" i="16"/>
  <c r="C29" i="16"/>
  <c r="D28" i="16"/>
  <c r="C28" i="16"/>
  <c r="I10" i="33" l="1"/>
</calcChain>
</file>

<file path=xl/sharedStrings.xml><?xml version="1.0" encoding="utf-8"?>
<sst xmlns="http://schemas.openxmlformats.org/spreadsheetml/2006/main" count="1241" uniqueCount="544">
  <si>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</si>
  <si>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</si>
  <si>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</si>
  <si>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</si>
  <si>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</si>
  <si>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</si>
  <si>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</si>
  <si>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</si>
  <si>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</si>
  <si>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</si>
  <si>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</si>
  <si>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</si>
  <si>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</si>
  <si>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</si>
  <si>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</si>
  <si>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</si>
  <si>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</si>
  <si>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</si>
  <si>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</si>
  <si>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</si>
  <si>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</si>
  <si>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</si>
  <si>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</si>
  <si>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</si>
  <si>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</si>
  <si>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</si>
  <si>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</si>
  <si>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</si>
  <si>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</si>
  <si>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</si>
  <si>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</si>
  <si>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</si>
  <si>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</si>
  <si>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</si>
  <si>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</si>
  <si>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</si>
  <si>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</si>
  <si>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</si>
  <si>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</si>
  <si>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</si>
  <si>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</si>
  <si>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</si>
  <si>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</si>
  <si>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</si>
  <si>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</si>
  <si>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</si>
  <si>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</si>
  <si>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</si>
  <si>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</si>
  <si>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</si>
  <si>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</si>
  <si>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</si>
  <si>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</si>
  <si>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</si>
  <si>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</si>
  <si>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</si>
  <si>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</si>
  <si>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</si>
  <si>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</si>
  <si>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</si>
  <si>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</si>
  <si>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</si>
  <si>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</si>
  <si>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</si>
  <si>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</si>
  <si>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</si>
  <si>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</si>
  <si>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</si>
  <si>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</si>
  <si>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</si>
  <si>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</si>
  <si>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</si>
  <si>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</si>
  <si>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</si>
  <si>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</si>
  <si>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</si>
  <si>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</si>
  <si>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</si>
  <si>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</si>
  <si>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</si>
  <si>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</si>
  <si>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</si>
  <si>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</si>
  <si>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</si>
  <si>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</si>
  <si>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</si>
  <si>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</si>
  <si>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</si>
  <si>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</si>
  <si>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</si>
  <si>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</si>
  <si>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</si>
  <si>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</si>
  <si>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</si>
  <si>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</si>
  <si>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</si>
  <si>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</si>
  <si>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</si>
  <si>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</si>
  <si>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</si>
  <si>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</si>
  <si>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</si>
  <si>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</si>
  <si>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</si>
  <si>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</si>
  <si>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</si>
  <si>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</si>
  <si>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</si>
  <si>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</si>
  <si>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</si>
  <si>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</si>
  <si>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</si>
  <si>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</si>
  <si>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</si>
  <si>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</si>
  <si>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</si>
  <si>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</si>
  <si>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</si>
  <si>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</si>
  <si>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</si>
  <si>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</si>
  <si>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</si>
  <si>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</si>
  <si>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</si>
  <si>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</si>
  <si>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</si>
  <si>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</si>
  <si>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</si>
  <si>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</si>
  <si>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</si>
  <si>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</si>
  <si>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</si>
  <si>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</si>
  <si>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</si>
  <si>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</si>
  <si>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</si>
  <si>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</si>
  <si>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</si>
  <si>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</si>
  <si>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</si>
  <si>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</si>
  <si>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</si>
  <si>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</si>
  <si>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</si>
  <si>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</si>
  <si>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</si>
  <si>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</si>
  <si>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</si>
  <si>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</si>
  <si>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</si>
  <si>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</si>
  <si>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</si>
  <si>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</si>
  <si>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</si>
  <si>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</si>
  <si>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</si>
  <si>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</si>
  <si>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</si>
  <si>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</si>
  <si>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</si>
  <si>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</si>
  <si>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</si>
  <si>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</si>
  <si>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</si>
  <si>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</si>
  <si>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</si>
  <si>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</si>
  <si>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</si>
  <si>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</si>
  <si>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</si>
  <si>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</si>
  <si>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</si>
  <si>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</si>
  <si>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</si>
  <si>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</si>
  <si>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</si>
  <si>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</si>
  <si>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</si>
  <si>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</si>
  <si>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</si>
  <si>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</si>
  <si>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</si>
  <si>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</si>
  <si>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</si>
  <si>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</si>
  <si>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</si>
  <si>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</si>
  <si>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</si>
  <si>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</si>
  <si>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</si>
  <si>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</si>
  <si>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</si>
  <si>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</si>
  <si>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</si>
  <si>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</si>
  <si>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</si>
  <si>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</si>
  <si>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</si>
  <si>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</si>
  <si>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</si>
  <si>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</si>
  <si>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</si>
  <si>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</si>
  <si>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</si>
  <si>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</si>
  <si>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</si>
  <si>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</si>
  <si>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</si>
  <si>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</si>
  <si>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</si>
  <si>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</si>
  <si>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</si>
  <si>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</si>
  <si>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</si>
  <si>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</si>
  <si>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</si>
  <si>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</si>
  <si>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</si>
  <si>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</si>
  <si>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</si>
  <si>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</si>
  <si>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</si>
  <si>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</si>
  <si>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</si>
  <si>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</si>
  <si>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</si>
  <si>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</si>
  <si>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</si>
  <si>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</si>
  <si>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</si>
  <si>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</si>
  <si>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</si>
  <si>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</si>
  <si>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</si>
  <si>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</si>
  <si>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</si>
  <si>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</si>
  <si>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</si>
  <si>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</si>
  <si>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</si>
  <si>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</si>
  <si>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</si>
  <si>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</si>
  <si>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</si>
  <si>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</si>
  <si>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</si>
  <si>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</si>
  <si>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</si>
  <si>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</si>
  <si>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</si>
  <si>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20, 23, 25, 27, 29, 31, 33, 36</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</si>
  <si>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</si>
  <si>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</si>
  <si>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</si>
  <si>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</si>
  <si>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</si>
  <si>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</si>
  <si>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</si>
  <si>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</si>
  <si>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</si>
  <si>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</si>
  <si>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</si>
  <si>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</si>
  <si>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</si>
  <si>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</si>
  <si>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</si>
  <si>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</si>
  <si>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</si>
  <si>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</si>
  <si>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</si>
  <si>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</si>
  <si>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</si>
  <si>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</si>
  <si>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</si>
  <si>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</si>
  <si>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</si>
  <si>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</si>
  <si>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</si>
  <si>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</si>
  <si>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</si>
  <si>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</si>
  <si>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</si>
  <si>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</si>
  <si>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</si>
  <si>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</si>
  <si>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</si>
  <si>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</si>
  <si>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</si>
  <si>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</si>
  <si>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</si>
  <si>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</si>
  <si>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</si>
  <si>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</si>
  <si>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</si>
  <si>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</si>
  <si>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</si>
  <si>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</si>
  <si>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</si>
  <si>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</si>
  <si>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</si>
  <si>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</si>
  <si>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</si>
  <si>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</si>
  <si>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</si>
  <si>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</si>
  <si>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</si>
  <si>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</si>
  <si>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</si>
  <si>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</si>
  <si>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</si>
  <si>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</si>
  <si>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</si>
  <si>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</si>
  <si>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</si>
  <si>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</si>
  <si>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</si>
  <si>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Afhængigt  af beskæftigelsesgraden. Pensionsgivende</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</si>
  <si>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</si>
  <si>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</si>
  <si>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</si>
  <si>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</si>
  <si>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</si>
  <si>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</si>
  <si>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 xml:space="preserve">Hovedrengøringstillæg </t>
  </si>
  <si>
    <t xml:space="preserve">Funktionstillæg </t>
  </si>
  <si>
    <t xml:space="preserve">Dispositionstillæg </t>
  </si>
  <si>
    <t xml:space="preserve">Arbejdstøjstillæg </t>
  </si>
  <si>
    <t>Strategi/langtidsplanlæg.</t>
  </si>
  <si>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</si>
  <si>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</si>
  <si>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</si>
  <si>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</si>
  <si>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</si>
  <si>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</si>
  <si>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</si>
  <si>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</si>
  <si>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</si>
  <si>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</si>
  <si>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</si>
  <si>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</si>
  <si>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</si>
  <si>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</si>
  <si>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</si>
  <si>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</si>
  <si>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</si>
  <si>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</si>
  <si>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</si>
  <si>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</si>
  <si>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</si>
  <si>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</si>
  <si>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</si>
  <si>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</si>
  <si>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</si>
  <si>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</si>
  <si>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</si>
  <si>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</si>
  <si>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</si>
  <si>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</si>
  <si>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</si>
  <si>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</si>
  <si>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</si>
  <si>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</si>
  <si>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</si>
  <si>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</si>
  <si>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</si>
  <si>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</si>
  <si>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</si>
  <si>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</si>
  <si>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</si>
  <si>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</si>
  <si>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</si>
  <si>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</si>
  <si>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</si>
  <si>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</si>
  <si>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</si>
  <si>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</si>
  <si>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</si>
  <si>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</si>
  <si>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</si>
  <si>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</si>
  <si>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</si>
  <si>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</si>
  <si>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</si>
  <si>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</si>
  <si>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</si>
  <si>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</si>
  <si>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</si>
  <si>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</si>
  <si>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</si>
  <si>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</si>
  <si>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</si>
  <si>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</si>
  <si>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</si>
  <si>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</si>
  <si>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</si>
  <si>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</si>
  <si>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</si>
  <si>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</si>
  <si>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</si>
  <si>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</si>
  <si>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</si>
  <si>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</si>
  <si>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</si>
  <si>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</si>
  <si>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</si>
  <si>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</si>
  <si>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</si>
  <si>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</si>
  <si>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</si>
  <si>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</si>
  <si>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</si>
  <si>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</si>
  <si>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</si>
  <si>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</si>
  <si>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</si>
  <si>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</si>
  <si>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</si>
  <si>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</si>
  <si>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</si>
  <si>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</si>
  <si>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</si>
  <si>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 xml:space="preserve">Pensionsbidrag </t>
  </si>
  <si>
    <t>Godtgørelse for 2-delt tjeneste</t>
  </si>
  <si>
    <t>Godtgørelse for 3-delt tjeneste</t>
  </si>
  <si>
    <t>Godtgørelse for omlagt tjeneste</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</si>
  <si>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</si>
  <si>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</si>
  <si>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</si>
  <si>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</si>
  <si>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</si>
  <si>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</si>
  <si>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OK18-tillæg</t>
  </si>
  <si>
    <t xml:space="preserve">OK-2013 tillæg </t>
  </si>
  <si>
    <t xml:space="preserve">OK-2018 tillæg </t>
  </si>
  <si>
    <t xml:space="preserve">Arbejdstøj, teknisk service </t>
  </si>
  <si>
    <t>Kr. pr. år</t>
  </si>
  <si>
    <t>Ved fuldtidsansættelse</t>
  </si>
  <si>
    <t>Afhængigt af beskæftigelsesgraden samt pensionsgivende for ansatte med Lærernes Pension</t>
  </si>
  <si>
    <t>Pensionsgivende for ansatte med Lærernes Pension</t>
  </si>
  <si>
    <t>Arbejdstidsbestemte tillæg i tilfælde af delt tjeneste.</t>
  </si>
  <si>
    <t>350-699</t>
  </si>
  <si>
    <t>700 -</t>
  </si>
  <si>
    <t>Lønintervaller for øverste leder</t>
  </si>
  <si>
    <t>0 - 349 elever</t>
  </si>
  <si>
    <t>Der kan aftales varige og/eller midlertidige funktions- eller kvalifikationstillæg.</t>
  </si>
  <si>
    <t>Lønintervaller for øverste leder ved skoler med kostafdeling</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</si>
  <si>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</si>
  <si>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</si>
  <si>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Kontorpersonale</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</si>
  <si>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</si>
  <si>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</si>
  <si>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</si>
  <si>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</si>
  <si>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</si>
  <si>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</si>
  <si>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</si>
  <si>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</si>
  <si>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</si>
  <si>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</si>
  <si>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</si>
  <si>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Elever under 18 år</t>
  </si>
  <si>
    <t>Månedsløn  - reguleret med gældende reguleringsprocent</t>
  </si>
  <si>
    <t>Voksenelever over 25 år</t>
  </si>
  <si>
    <t>Under hele elevtiden</t>
  </si>
  <si>
    <t>Timelønede uden relevant kontorfaglig uddannelse</t>
  </si>
  <si>
    <t>Basisløn for øvrige ledere</t>
  </si>
  <si>
    <t>Øverste leder og øvrige ledere</t>
  </si>
  <si>
    <t>Øvrige ledere</t>
  </si>
  <si>
    <t>16, 17, 18, 19, 21</t>
  </si>
  <si>
    <t>22, 23, 26, 27, 29</t>
  </si>
  <si>
    <t>For lærere og bh.kl.ledere med tjenestemandspension er de "pensionsgivende løndele" ikke nødvendigvis pensionsgivende, bortset fra soucheftillæg, OK 13-tillæg og OK 18-tillæg.</t>
  </si>
  <si>
    <t xml:space="preserve">Ansatte med ret til tjenestemandspension, skal have supplerende pension i Lærernes Pension på 18% for lønddele, der overstiger slutskalatrin incl. 2 ekstra trin. For lærere: Skalatrin 42, for bhkl.ledere: trin 33. </t>
  </si>
  <si>
    <t>Timelønnet personale</t>
  </si>
  <si>
    <t>Anderledes pæd. uddannede(Lukket gruppe)</t>
  </si>
  <si>
    <t>Beløbsgrænse for engangsvederlag</t>
  </si>
  <si>
    <t>Udover intervallønnen til skolens øverste leder og basislønnen til skolens øvrige ledere, kan der aftales engangsvederlag i form af resultatløn eller honorering for en særlig indsats. Dette i henhold til bemyndigelsesskrivelse af 17. september 2019 fra Styrelsen for Undervisning og Kvalitet. Engangsvederlag er pensionsgivende.</t>
  </si>
  <si>
    <t>Grundskolers øverste leder og mellemleder</t>
  </si>
  <si>
    <t xml:space="preserve">Ændringer i denne løntabel er: </t>
  </si>
  <si>
    <t>Hel godtgørelse</t>
  </si>
  <si>
    <t>Satser for G-dage(dagpenge godtgørelse for 1. og 2. ledighedsdag)</t>
  </si>
  <si>
    <t>Halv godtgørelse(for ledighed på 4 timer eller derunder)</t>
  </si>
  <si>
    <t>Arbejdstidsbestemte tillæg efter natpengeaftalen</t>
  </si>
  <si>
    <t>Lilleskolernes Sammenslutning</t>
  </si>
  <si>
    <t>ATPbidrag fra 1. januar 2021(A-bidrag)</t>
  </si>
  <si>
    <t>OBS: Rektorer ansat fra 1. januar 2019 bliver indplaceret individuelt efter vurdering og godkendelse fra Undervisningsministeriet. Dette gælder også rektorer ansat før 1. januar 2019, og som efter ønske er overgået til den nye chefaftale.</t>
  </si>
  <si>
    <t>Månedsløn(afhængig af beskæftigelsesgrad)</t>
  </si>
  <si>
    <t>Afhængig af beskæftigelsesgrad. Ikke pensionsgivende.</t>
  </si>
  <si>
    <t>Pensionsbidrag for øverste leder og øvrige leder</t>
  </si>
  <si>
    <t>Tjenestemandslignende pensionsordning</t>
  </si>
  <si>
    <t>Skolen betaler pensionsbidrag til Lærernes Pension, bortset fra ansatte omfattet af nedennævnte tjenestemandslignende pensionsordning. Pensionsbidraget til Lærernes Pension udgør 17,3% af de pensionsgivende løndele, hvoraf 1/3 udgør egetbidraget.</t>
  </si>
  <si>
    <t>Dansk Friskoleforening, Danmarks Private Skoler, Lilleskolernes Sammenslutning samt Deutche Schul- und spracherein,</t>
  </si>
  <si>
    <t xml:space="preserve">DENNE LØNTABEL GÆLDER ALENE ANSATTE OMFATTET AF OK MELLEM 3F OG AFTALEENHEDEN SOM BESTÅR AF:                                                                                 </t>
  </si>
  <si>
    <t>DENNE LØNTABEL GÆLDER ALENE ANSATTE OMFATTET AF OK MELLEM HK OG AFTALEENHEDEN SOM BESTÅR AF:</t>
  </si>
  <si>
    <t>Dansk Friskoleforening, Danmarks Private Skoler samt Lilleskolernes Sammenslutning</t>
  </si>
  <si>
    <t>Løn- og personaleadm</t>
  </si>
  <si>
    <t>Lønnens sammensætning: Grundløn, relevante funktionstillæg samt individuelt forhandlet personligt tillæg.</t>
  </si>
  <si>
    <t>Pr. 01.04.2021 alle løndele ekskl. det personlige tillæg reguleres med nedenstående reguleringsprocenter og - terminer.</t>
  </si>
  <si>
    <t>(i alt 6,75% fordelt over en  3-årig periode)</t>
  </si>
  <si>
    <t>Pædagogmedhjælpere</t>
  </si>
  <si>
    <t>Pædagogiske assistenter</t>
  </si>
  <si>
    <t>Pædagogmedhjælpere og pædagogiske assistenter</t>
  </si>
  <si>
    <t>Stedtillægsområde 2, 3 og 4</t>
  </si>
  <si>
    <t>Stedtillægsområde 5 og 6</t>
  </si>
  <si>
    <t>Timelønnede under 18 år</t>
  </si>
  <si>
    <t>Godtgørelse for delt tjeneste ud over 11 timer</t>
  </si>
  <si>
    <t>Godtgørelse for tjeneste på lørdage efter kl. 14:00, samt lørdage før kl. 14:00 såfremt  halvdelen af arb.tiden ligger efter kl. 14:00. Herudover juleaftensdag efter kl. 14.00 samt grundlovsdag efter kl. 12.00</t>
  </si>
  <si>
    <t>Godtgørelse for tjeneste på lørdage efter kl. 14:00, samt lørdage før kl. 14:00 såfremt  halvdelen af arb.tiden ligger efter kl. 14:00 samt grundlovsdag efter kl. 12.00</t>
  </si>
  <si>
    <t>Gruppelivspræmie øvrige ansatte (Aftale FG nr. 98704-1)</t>
  </si>
  <si>
    <t>Pensionsbidrag til AkedemikerPension</t>
  </si>
  <si>
    <t>Pensionsbidrag til Akedemiker-Pension</t>
  </si>
  <si>
    <t>Tillæg for ansvar af uv. af SPS-elever samt til uv. af dansk til 2-sprogede.</t>
  </si>
  <si>
    <t>01/04/2022</t>
  </si>
  <si>
    <t xml:space="preserve">Aftalt løn kr. 33.000,- pr. Måned </t>
  </si>
  <si>
    <t>Skalatrinslønnen nærmest herunder på skalatrin 40: kr. 32.797,08 pr. måned.</t>
  </si>
  <si>
    <t>Pensionstilsvaret bliver 15% af den pensionsgivende løn på skalatrin 40 = 15% af kr. 32.797,08 pr. måned = kr. 4.919,56</t>
  </si>
  <si>
    <t>Aftalt løn kr. 34.500,- pr. måned</t>
  </si>
  <si>
    <t>Skalatrinslønnen nærmest herunder på skalatrin 42: kr. 34.179,92 pr. måned.</t>
  </si>
  <si>
    <t>Pensionstilsvaret bliver 15% af den pensionsgivende løn på skalatrin 42 = 15% af kr. 34.179,92 pr. måned = kr. 5.126,99</t>
  </si>
  <si>
    <t>Overenskomsttillæg til afdelingsledere</t>
  </si>
  <si>
    <t>Overenskomst tillæg til afdelingsledere</t>
  </si>
  <si>
    <t>Overenskomsttillæg til pædagogisk personale, uanset uddannelse</t>
  </si>
  <si>
    <t>Overenskomsttillæg til pædagogisk personale, uanset uddannelse(ikke afdelingsledere)</t>
  </si>
  <si>
    <t>Tillæggene er mdr. tillæg</t>
  </si>
  <si>
    <t>Afhængig af beskæftigelsesgraden. Den pensionsgivende løn er pensionsberettiget</t>
  </si>
  <si>
    <r>
      <t>Månedsløn(</t>
    </r>
    <r>
      <rPr>
        <sz val="16"/>
        <rFont val="Arial"/>
        <family val="2"/>
      </rPr>
      <t>er reguleret med gældende reguleringsprocent)</t>
    </r>
  </si>
  <si>
    <r>
      <t>Månedsløn til afd. Ledere</t>
    </r>
    <r>
      <rPr>
        <sz val="14"/>
        <rFont val="Arial"/>
        <family val="2"/>
      </rPr>
      <t>(er reguleret med gældende reguleringsprocent)</t>
    </r>
  </si>
  <si>
    <t>Tillæg til trin 14(14+t)</t>
  </si>
  <si>
    <t>Tillæg til trin 21(21+t)</t>
  </si>
  <si>
    <t>Årligt tillæg- udbetales med 1/12 pr. mdr. I ovennænvte skalatrinstabel fremgår tillæggene som hhv. 14+t og 21+t</t>
  </si>
  <si>
    <t>21+t</t>
  </si>
  <si>
    <t>Denne løntabel er gældende indtil 31. juli 2022</t>
  </si>
  <si>
    <t>29, 31, 33, 35, 38, 39</t>
  </si>
  <si>
    <t>gældende for perioden 01.04.2022 til og med 31.03.2023</t>
  </si>
  <si>
    <t>Arbejdsmiljøreprænstanter</t>
  </si>
  <si>
    <t>Arbejdsmiljørrepræsentanter der også er valgt som tillidsrepresentant</t>
  </si>
  <si>
    <t>Arbejdsmiljøreprænsentanter</t>
  </si>
  <si>
    <t>Udgivet d. 12. maj 2022</t>
  </si>
  <si>
    <t>Gældende fra 1. maj 2022</t>
  </si>
  <si>
    <t>Stigning i transportgodtgørelsessatserne</t>
  </si>
  <si>
    <t>Almindelig godkendt kørsel med bil er steget fra kr. 1,98 til kr. 2,17</t>
  </si>
  <si>
    <t>*) indtil 20.000 km pr. år derefter kr. 2,17</t>
  </si>
  <si>
    <t>Kørsel i henhold til bemyndigelse er steget fra 3,51 til 3,70</t>
  </si>
  <si>
    <t>Kørsel i henhold til bemyndigelse*</t>
  </si>
  <si>
    <t>Ansatte under BUPL og KRIFA overenskomst samt andre generelle satser.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</si>
</sst>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93">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sz val="10"/>
      <color theme="1"/>
      <name val="Ariel"/>
    </font>
    <font>
      <i/>
      <sz val="10"/>
      <color theme="1"/>
      <name val="Arial"/>
      <family val="2"/>
    </font>
    <font>
      <sz val="11"/>
      <color theme="0" tint="-0.34998626667073579"/>
      <name val="Times New Roman"/>
      <family val="1"/>
    </font>
    <font>
      <sz val="11"/>
      <color theme="0" tint="-0.34998626667073579"/>
      <name val="Calibri"/>
      <family val="2"/>
      <scheme val="minor"/>
    </font>
    <font>
      <sz val="10"/>
      <color theme="0" tint="-0.14999847407452621"/>
      <name val="Arial"/>
      <family val="2"/>
    </font>
    <font>
      <i/>
      <sz val="11"/>
      <color theme="1"/>
      <name val="Ariel"/>
    </font>
    <font>
      <i/>
      <sz val="14"/>
      <color theme="1"/>
      <name val="Arial"/>
      <family val="2"/>
    </font>
    <font>
      <i/>
      <sz val="11"/>
      <name val="Arial"/>
      <family val="2"/>
    </font>
    <font>
      <sz val="14"/>
      <name val="Arial"/>
      <family val="2"/>
    </font>
    <font>
      <sz val="16"/>
      <name val="Arial"/>
      <family val="2"/>
    </font>
    <font>
      <sz val="14"/>
      <color indexed="8"/>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indexed="64"/>
      </left>
      <right style="thin">
        <color auto="1"/>
      </right>
      <top style="thin">
        <color auto="1"/>
      </top>
      <bottom/>
      <diagonal/>
    </border>
  </borders>
  <cellStyleXfs count="147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64">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0" fontId="22" fillId="0" borderId="0" xfId="0" applyFont="1" applyBorder="1" applyAlignment="1">
      <alignment horizontal="center"/>
    </xf>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9" fillId="0" borderId="0" xfId="0" applyFont="1" applyBorder="1" applyAlignment="1"/>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0" fontId="41" fillId="4" borderId="34" xfId="709" applyFont="1" applyFill="1" applyBorder="1" applyAlignment="1">
      <alignment horizontal="left"/>
    </xf>
    <xf numFmtId="0" fontId="41" fillId="4" borderId="2" xfId="709" applyFont="1" applyFill="1" applyBorder="1"/>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0" borderId="45" xfId="0" applyNumberFormat="1" applyFont="1" applyBorder="1" applyAlignment="1">
      <alignment horizontal="center"/>
    </xf>
    <xf numFmtId="2" fontId="39" fillId="0" borderId="27" xfId="0" applyNumberFormat="1" applyFont="1" applyBorder="1" applyAlignment="1">
      <alignment horizontal="center"/>
    </xf>
    <xf numFmtId="2" fontId="39" fillId="0" borderId="36" xfId="0" applyNumberFormat="1" applyFont="1" applyBorder="1" applyAlignment="1">
      <alignment horizontal="center"/>
    </xf>
    <xf numFmtId="4" fontId="39" fillId="0" borderId="45" xfId="0" applyNumberFormat="1" applyFont="1" applyBorder="1" applyAlignment="1">
      <alignment horizontal="center"/>
    </xf>
    <xf numFmtId="4" fontId="39" fillId="0" borderId="27"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3" fontId="14" fillId="0" borderId="26" xfId="0" applyNumberFormat="1" applyFont="1" applyBorder="1"/>
    <xf numFmtId="164" fontId="14" fillId="0" borderId="6"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6" fillId="9" borderId="4" xfId="709" applyFont="1" applyFill="1" applyBorder="1" applyAlignment="1">
      <alignment horizontal="center" vertical="top" wrapText="1"/>
    </xf>
    <xf numFmtId="0" fontId="66" fillId="9" borderId="26" xfId="709" applyFont="1" applyFill="1" applyBorder="1" applyAlignment="1">
      <alignment horizontal="center" vertical="top" wrapText="1"/>
    </xf>
    <xf numFmtId="0" fontId="66"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5"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0" fontId="16" fillId="0" borderId="0" xfId="0" applyFont="1"/>
    <xf numFmtId="0" fontId="3" fillId="0" borderId="52" xfId="0" applyFont="1" applyBorder="1" applyAlignment="1">
      <alignment horizontal="center"/>
    </xf>
    <xf numFmtId="0" fontId="3" fillId="0" borderId="52" xfId="0" applyFont="1" applyBorder="1" applyAlignment="1">
      <alignment horizontal="center" vertical="center"/>
    </xf>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63" fillId="0" borderId="62" xfId="709" applyFont="1" applyBorder="1" applyAlignment="1">
      <alignment horizontal="center" wrapText="1"/>
    </xf>
    <xf numFmtId="0" fontId="77" fillId="0" borderId="0" xfId="0" applyFont="1"/>
    <xf numFmtId="0" fontId="42" fillId="0" borderId="0" xfId="709" applyFont="1" applyBorder="1" applyAlignment="1" applyProtection="1">
      <protection locked="0"/>
    </xf>
    <xf numFmtId="0" fontId="77" fillId="0" borderId="0" xfId="0" applyFont="1" applyAlignment="1">
      <alignment horizontal="left" vertical="center" wrapText="1"/>
    </xf>
    <xf numFmtId="0" fontId="72" fillId="3" borderId="0" xfId="0" applyFont="1" applyFill="1" applyBorder="1" applyAlignment="1">
      <alignment horizontal="center" vertical="center" wrapText="1"/>
    </xf>
    <xf numFmtId="4" fontId="77" fillId="0" borderId="0" xfId="0" applyNumberFormat="1" applyFont="1" applyBorder="1" applyAlignment="1">
      <alignment horizontal="center"/>
    </xf>
    <xf numFmtId="4" fontId="77"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7" fillId="0" borderId="0" xfId="0" applyNumberFormat="1" applyFont="1" applyBorder="1" applyAlignment="1"/>
    <xf numFmtId="0" fontId="70" fillId="0" borderId="0" xfId="0" applyFont="1" applyBorder="1"/>
    <xf numFmtId="0" fontId="3" fillId="0" borderId="0" xfId="0" applyFont="1" applyProtection="1">
      <protection locked="0"/>
    </xf>
    <xf numFmtId="0" fontId="81" fillId="3" borderId="0"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8"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7" fillId="0" borderId="24" xfId="0" applyNumberFormat="1" applyFont="1" applyBorder="1" applyAlignment="1">
      <alignment horizontal="right"/>
    </xf>
    <xf numFmtId="0" fontId="77" fillId="4" borderId="43" xfId="0" applyFont="1" applyFill="1" applyBorder="1" applyAlignment="1">
      <alignment horizontal="center" vertical="center"/>
    </xf>
    <xf numFmtId="4" fontId="77" fillId="0" borderId="77" xfId="0" applyNumberFormat="1" applyFont="1" applyBorder="1" applyAlignment="1">
      <alignment horizontal="center"/>
    </xf>
    <xf numFmtId="4" fontId="77" fillId="0" borderId="78" xfId="0" applyNumberFormat="1" applyFont="1" applyBorder="1" applyAlignment="1">
      <alignment horizontal="center"/>
    </xf>
    <xf numFmtId="4" fontId="77" fillId="0" borderId="77" xfId="0" applyNumberFormat="1" applyFont="1" applyBorder="1" applyAlignment="1">
      <alignment horizontal="center"/>
    </xf>
    <xf numFmtId="14" fontId="79" fillId="8" borderId="18" xfId="0" applyNumberFormat="1" applyFont="1" applyFill="1" applyBorder="1" applyAlignment="1">
      <alignment horizontal="center" vertical="center" wrapText="1"/>
    </xf>
    <xf numFmtId="49" fontId="80" fillId="4" borderId="10" xfId="0" applyNumberFormat="1" applyFont="1" applyFill="1" applyBorder="1" applyAlignment="1">
      <alignment horizontal="center" vertical="center" wrapText="1"/>
    </xf>
    <xf numFmtId="4" fontId="77" fillId="3" borderId="10" xfId="0" applyNumberFormat="1" applyFont="1" applyFill="1" applyBorder="1" applyAlignment="1">
      <alignment horizontal="center"/>
    </xf>
    <xf numFmtId="0" fontId="74" fillId="4" borderId="50" xfId="0" applyFont="1" applyFill="1" applyBorder="1" applyAlignment="1">
      <alignment horizontal="center" vertical="center"/>
    </xf>
    <xf numFmtId="4" fontId="77" fillId="3" borderId="39" xfId="0" applyNumberFormat="1" applyFont="1" applyFill="1" applyBorder="1" applyAlignment="1">
      <alignment horizontal="center"/>
    </xf>
    <xf numFmtId="4" fontId="77" fillId="3" borderId="37" xfId="0" applyNumberFormat="1" applyFont="1" applyFill="1" applyBorder="1" applyAlignment="1">
      <alignment horizontal="center"/>
    </xf>
    <xf numFmtId="0" fontId="74" fillId="4" borderId="10" xfId="0" applyFont="1" applyFill="1" applyBorder="1" applyAlignment="1">
      <alignment horizontal="center" vertical="center" wrapText="1"/>
    </xf>
    <xf numFmtId="0" fontId="74" fillId="4" borderId="11" xfId="0" applyFont="1" applyFill="1" applyBorder="1" applyAlignment="1">
      <alignment horizontal="center" vertical="center" wrapText="1"/>
    </xf>
    <xf numFmtId="4" fontId="77" fillId="0" borderId="32" xfId="0" applyNumberFormat="1" applyFont="1" applyBorder="1" applyAlignment="1">
      <alignment horizontal="center"/>
    </xf>
    <xf numFmtId="14" fontId="79" fillId="8" borderId="9" xfId="0" applyNumberFormat="1" applyFont="1" applyFill="1" applyBorder="1" applyAlignment="1">
      <alignment horizontal="center" vertical="center" wrapText="1"/>
    </xf>
    <xf numFmtId="4" fontId="77" fillId="0" borderId="33" xfId="0" applyNumberFormat="1" applyFont="1" applyBorder="1" applyAlignment="1" applyProtection="1">
      <alignment horizontal="center"/>
      <protection locked="0"/>
    </xf>
    <xf numFmtId="4" fontId="77" fillId="0" borderId="18" xfId="0" applyNumberFormat="1" applyFont="1" applyBorder="1" applyAlignment="1" applyProtection="1">
      <alignment horizontal="center"/>
      <protection locked="0"/>
    </xf>
    <xf numFmtId="0" fontId="77" fillId="4" borderId="62" xfId="0" applyFont="1" applyFill="1" applyBorder="1" applyAlignment="1" applyProtection="1">
      <alignment horizontal="center" vertical="center"/>
      <protection locked="0"/>
    </xf>
    <xf numFmtId="0" fontId="77" fillId="4" borderId="50" xfId="0" applyFont="1" applyFill="1" applyBorder="1" applyAlignment="1" applyProtection="1">
      <alignment horizontal="center" vertical="center"/>
      <protection locked="0"/>
    </xf>
    <xf numFmtId="0" fontId="77" fillId="4" borderId="50" xfId="0" applyFont="1" applyFill="1" applyBorder="1" applyAlignment="1">
      <alignment horizontal="center" vertical="center" wrapText="1"/>
    </xf>
    <xf numFmtId="0" fontId="74"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7" fillId="4" borderId="41" xfId="0" applyFont="1" applyFill="1" applyBorder="1" applyAlignment="1">
      <alignment horizontal="center" vertical="center"/>
    </xf>
    <xf numFmtId="0" fontId="77" fillId="0" borderId="46" xfId="0" applyFont="1" applyBorder="1" applyAlignment="1">
      <alignment horizontal="center" vertical="center"/>
    </xf>
    <xf numFmtId="0" fontId="77" fillId="0" borderId="49" xfId="0" applyFont="1" applyBorder="1" applyAlignment="1">
      <alignment horizontal="center" vertical="center"/>
    </xf>
    <xf numFmtId="0" fontId="77" fillId="0" borderId="50" xfId="0" applyFont="1" applyBorder="1" applyAlignment="1">
      <alignment horizontal="center" vertical="center"/>
    </xf>
    <xf numFmtId="4" fontId="77" fillId="0" borderId="10" xfId="0" applyNumberFormat="1" applyFont="1" applyBorder="1" applyAlignment="1" applyProtection="1">
      <alignment horizontal="center"/>
    </xf>
    <xf numFmtId="4" fontId="77"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0" fontId="71"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2"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44"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0" fillId="4" borderId="35" xfId="0" applyNumberFormat="1" applyFont="1" applyFill="1" applyBorder="1" applyAlignment="1">
      <alignment horizontal="center"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4" fillId="0" borderId="0" xfId="0" applyFont="1"/>
    <xf numFmtId="0" fontId="85" fillId="0" borderId="0" xfId="0" applyFont="1" applyBorder="1"/>
    <xf numFmtId="0" fontId="85" fillId="0" borderId="0" xfId="0" applyFont="1"/>
    <xf numFmtId="0" fontId="84"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0" fontId="39" fillId="4" borderId="44" xfId="709" applyFont="1" applyFill="1" applyBorder="1" applyAlignment="1">
      <alignment horizontal="center"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10"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79"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4" fontId="39" fillId="0" borderId="62" xfId="773"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50" xfId="773" applyNumberFormat="1" applyFont="1" applyBorder="1" applyAlignment="1">
      <alignment horizontal="center" wrapText="1"/>
    </xf>
    <xf numFmtId="168" fontId="39" fillId="0" borderId="0" xfId="773" applyFont="1" applyBorder="1" applyAlignment="1">
      <alignment wrapText="1"/>
    </xf>
    <xf numFmtId="170" fontId="39" fillId="3" borderId="0" xfId="775" applyNumberFormat="1" applyFont="1" applyFill="1" applyBorder="1" applyAlignment="1"/>
    <xf numFmtId="14" fontId="41" fillId="4" borderId="57" xfId="0" applyNumberFormat="1" applyFont="1" applyFill="1" applyBorder="1" applyAlignment="1">
      <alignment horizontal="center"/>
    </xf>
    <xf numFmtId="0" fontId="86" fillId="4" borderId="46" xfId="709" applyFont="1" applyFill="1" applyBorder="1" applyAlignment="1">
      <alignment horizontal="left" vertical="top" wrapText="1"/>
    </xf>
    <xf numFmtId="0" fontId="0" fillId="0" borderId="0" xfId="0" applyAlignment="1">
      <alignment horizontal="center"/>
    </xf>
    <xf numFmtId="0" fontId="52" fillId="3" borderId="0" xfId="0" applyFont="1" applyFill="1" applyBorder="1" applyAlignment="1">
      <alignment horizontal="left" vertical="center" wrapText="1"/>
    </xf>
    <xf numFmtId="4" fontId="14" fillId="0" borderId="6" xfId="0" applyNumberFormat="1" applyFont="1" applyBorder="1" applyAlignment="1">
      <alignment horizontal="center"/>
    </xf>
    <xf numFmtId="4" fontId="14" fillId="0" borderId="8" xfId="0" applyNumberFormat="1" applyFont="1" applyBorder="1" applyAlignment="1">
      <alignment horizontal="center"/>
    </xf>
    <xf numFmtId="4" fontId="14" fillId="0" borderId="11" xfId="0" applyNumberFormat="1" applyFont="1" applyBorder="1" applyAlignment="1">
      <alignment horizontal="center"/>
    </xf>
    <xf numFmtId="4" fontId="77" fillId="0" borderId="39" xfId="0" applyNumberFormat="1" applyFont="1" applyBorder="1" applyAlignment="1" applyProtection="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4" fontId="14" fillId="0" borderId="78" xfId="0" applyNumberFormat="1" applyFont="1" applyBorder="1" applyAlignment="1">
      <alignment horizontal="center"/>
    </xf>
    <xf numFmtId="4" fontId="14" fillId="0" borderId="8" xfId="0" applyNumberFormat="1" applyFont="1" applyBorder="1" applyAlignment="1">
      <alignment horizontal="center" vertical="center"/>
    </xf>
    <xf numFmtId="4" fontId="14" fillId="0" borderId="11" xfId="0" applyNumberFormat="1" applyFont="1" applyBorder="1" applyAlignment="1">
      <alignment horizontal="center" vertical="center"/>
    </xf>
    <xf numFmtId="2" fontId="14" fillId="0" borderId="27" xfId="0" applyNumberFormat="1" applyFont="1" applyBorder="1" applyAlignment="1">
      <alignment horizontal="center"/>
    </xf>
    <xf numFmtId="2" fontId="14" fillId="0" borderId="36" xfId="0" applyNumberFormat="1" applyFont="1" applyBorder="1" applyAlignment="1">
      <alignment horizontal="center"/>
    </xf>
    <xf numFmtId="0" fontId="38" fillId="3" borderId="47" xfId="709" applyFont="1" applyFill="1" applyBorder="1" applyAlignment="1"/>
    <xf numFmtId="0" fontId="38" fillId="3" borderId="48" xfId="709" applyFont="1" applyFill="1" applyBorder="1" applyAlignment="1"/>
    <xf numFmtId="4" fontId="14" fillId="0" borderId="25" xfId="0" applyNumberFormat="1" applyFont="1" applyBorder="1" applyAlignment="1">
      <alignment horizontal="center"/>
    </xf>
    <xf numFmtId="164" fontId="14" fillId="0" borderId="4" xfId="80" quotePrefix="1" applyFont="1" applyBorder="1" applyAlignment="1">
      <alignment horizontal="center" vertical="center"/>
    </xf>
    <xf numFmtId="4" fontId="14" fillId="0" borderId="6" xfId="0" applyNumberFormat="1" applyFont="1" applyBorder="1" applyAlignment="1">
      <alignment horizontal="center" vertical="center"/>
    </xf>
    <xf numFmtId="164" fontId="14" fillId="0" borderId="7" xfId="80" quotePrefix="1" applyFont="1" applyBorder="1" applyAlignment="1">
      <alignment horizontal="center" vertical="center"/>
    </xf>
    <xf numFmtId="164" fontId="14" fillId="0" borderId="9" xfId="80" quotePrefix="1" applyFont="1" applyBorder="1" applyAlignment="1">
      <alignment horizontal="center" vertical="center"/>
    </xf>
    <xf numFmtId="4" fontId="14" fillId="0" borderId="4" xfId="0" applyNumberFormat="1" applyFont="1" applyBorder="1"/>
    <xf numFmtId="4" fontId="14" fillId="0" borderId="5" xfId="0" applyNumberFormat="1" applyFont="1" applyBorder="1"/>
    <xf numFmtId="4" fontId="14" fillId="0" borderId="7" xfId="0" applyNumberFormat="1" applyFont="1" applyBorder="1"/>
    <xf numFmtId="4" fontId="14" fillId="0" borderId="9" xfId="0" applyNumberFormat="1" applyFont="1" applyBorder="1"/>
    <xf numFmtId="4" fontId="14" fillId="0" borderId="77" xfId="0" applyNumberFormat="1" applyFont="1" applyBorder="1"/>
    <xf numFmtId="4" fontId="14" fillId="0" borderId="4" xfId="0" applyNumberFormat="1" applyFont="1" applyBorder="1" applyAlignment="1">
      <alignment vertical="center"/>
    </xf>
    <xf numFmtId="4" fontId="14" fillId="0" borderId="5" xfId="0" applyNumberFormat="1" applyFont="1" applyBorder="1" applyAlignment="1">
      <alignment vertical="center"/>
    </xf>
    <xf numFmtId="4" fontId="14" fillId="0" borderId="7" xfId="0" applyNumberFormat="1" applyFont="1" applyBorder="1" applyAlignment="1">
      <alignment vertical="center"/>
    </xf>
    <xf numFmtId="4" fontId="14" fillId="0" borderId="9" xfId="0" applyNumberFormat="1" applyFont="1" applyBorder="1" applyAlignment="1">
      <alignment vertical="center"/>
    </xf>
    <xf numFmtId="4" fontId="14" fillId="0" borderId="77" xfId="0" applyNumberFormat="1" applyFont="1" applyBorder="1" applyAlignment="1">
      <alignment vertical="center"/>
    </xf>
    <xf numFmtId="2" fontId="12" fillId="0" borderId="62" xfId="0" applyNumberFormat="1" applyFont="1" applyBorder="1" applyAlignment="1">
      <alignment horizontal="center"/>
    </xf>
    <xf numFmtId="2" fontId="12" fillId="0" borderId="46" xfId="0" applyNumberFormat="1" applyFont="1" applyBorder="1" applyAlignment="1">
      <alignment horizontal="center"/>
    </xf>
    <xf numFmtId="2" fontId="12" fillId="0" borderId="43" xfId="0" applyNumberFormat="1" applyFont="1" applyBorder="1" applyAlignment="1">
      <alignment horizontal="center"/>
    </xf>
    <xf numFmtId="14" fontId="12" fillId="0" borderId="0" xfId="0" applyNumberFormat="1" applyFont="1" applyBorder="1" applyAlignment="1">
      <alignment horizontal="center"/>
    </xf>
    <xf numFmtId="0" fontId="12" fillId="3" borderId="0" xfId="0" applyFont="1" applyFill="1" applyBorder="1" applyAlignment="1">
      <alignment horizontal="center" vertical="center"/>
    </xf>
    <xf numFmtId="4" fontId="39" fillId="4" borderId="46" xfId="773" applyNumberFormat="1" applyFont="1" applyFill="1" applyBorder="1" applyAlignment="1">
      <alignment horizontal="center" vertical="center" wrapText="1"/>
    </xf>
    <xf numFmtId="4" fontId="39" fillId="4" borderId="43" xfId="773" applyNumberFormat="1" applyFont="1" applyFill="1" applyBorder="1" applyAlignment="1">
      <alignment horizontal="center" vertical="center" wrapText="1"/>
    </xf>
    <xf numFmtId="4" fontId="39" fillId="4" borderId="22" xfId="773" applyNumberFormat="1" applyFont="1" applyFill="1" applyBorder="1" applyAlignment="1">
      <alignment horizontal="center"/>
    </xf>
    <xf numFmtId="2" fontId="39" fillId="4" borderId="46" xfId="0" applyNumberFormat="1" applyFont="1" applyFill="1" applyBorder="1" applyAlignment="1">
      <alignment horizontal="center"/>
    </xf>
    <xf numFmtId="2" fontId="39" fillId="4" borderId="49" xfId="0" applyNumberFormat="1" applyFont="1" applyFill="1" applyBorder="1" applyAlignment="1">
      <alignment horizontal="center"/>
    </xf>
    <xf numFmtId="2" fontId="39" fillId="4" borderId="50" xfId="0" applyNumberFormat="1" applyFont="1" applyFill="1" applyBorder="1" applyAlignment="1">
      <alignment horizontal="center"/>
    </xf>
    <xf numFmtId="4" fontId="39" fillId="4" borderId="62" xfId="773" applyNumberFormat="1" applyFont="1" applyFill="1" applyBorder="1" applyAlignment="1">
      <alignment horizontal="center" wrapText="1"/>
    </xf>
    <xf numFmtId="4" fontId="39" fillId="4" borderId="49" xfId="773" applyNumberFormat="1" applyFont="1" applyFill="1" applyBorder="1" applyAlignment="1">
      <alignment horizontal="center" wrapText="1"/>
    </xf>
    <xf numFmtId="4" fontId="39" fillId="4" borderId="50" xfId="773" applyNumberFormat="1" applyFont="1" applyFill="1" applyBorder="1" applyAlignment="1">
      <alignment horizontal="center" wrapText="1"/>
    </xf>
    <xf numFmtId="0" fontId="10" fillId="4" borderId="0" xfId="0" applyFont="1" applyFill="1" applyBorder="1" applyAlignment="1">
      <alignment horizontal="center" wrapText="1"/>
    </xf>
    <xf numFmtId="0" fontId="10" fillId="3" borderId="0" xfId="0" applyFont="1" applyFill="1" applyBorder="1" applyAlignment="1">
      <alignment horizont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164" fontId="39" fillId="0" borderId="34" xfId="80" applyFont="1" applyBorder="1" applyAlignment="1">
      <alignment vertical="center" wrapText="1"/>
    </xf>
    <xf numFmtId="164" fontId="39" fillId="3" borderId="56" xfId="80" applyFont="1" applyFill="1" applyBorder="1" applyAlignment="1">
      <alignment vertical="center" wrapText="1"/>
    </xf>
    <xf numFmtId="10" fontId="41" fillId="4" borderId="59" xfId="774" applyNumberFormat="1" applyFont="1" applyFill="1" applyBorder="1" applyAlignment="1">
      <alignment horizontal="center" vertical="center"/>
    </xf>
    <xf numFmtId="164" fontId="39" fillId="0" borderId="4" xfId="80" applyFont="1" applyBorder="1" applyAlignment="1">
      <alignment vertical="center" wrapText="1"/>
    </xf>
    <xf numFmtId="164" fontId="39" fillId="0" borderId="5" xfId="80" applyFont="1" applyBorder="1" applyAlignment="1">
      <alignment vertical="center" wrapText="1"/>
    </xf>
    <xf numFmtId="164" fontId="39" fillId="0" borderId="6" xfId="80" applyFont="1" applyBorder="1" applyAlignment="1">
      <alignment vertical="center" wrapText="1"/>
    </xf>
    <xf numFmtId="164" fontId="39" fillId="0" borderId="7" xfId="80" applyFont="1" applyBorder="1" applyAlignment="1">
      <alignment vertical="center" wrapText="1"/>
    </xf>
    <xf numFmtId="164" fontId="39" fillId="3" borderId="9" xfId="80" applyFont="1" applyFill="1" applyBorder="1" applyAlignment="1">
      <alignment vertical="center" wrapText="1"/>
    </xf>
    <xf numFmtId="164" fontId="39" fillId="0" borderId="55" xfId="80" applyFont="1" applyBorder="1" applyAlignment="1">
      <alignment vertical="center" wrapText="1"/>
    </xf>
    <xf numFmtId="164" fontId="39" fillId="0" borderId="9" xfId="80" applyFont="1" applyBorder="1" applyAlignment="1">
      <alignment vertical="center" wrapText="1"/>
    </xf>
    <xf numFmtId="0" fontId="42" fillId="3" borderId="0" xfId="709" applyFont="1" applyFill="1"/>
    <xf numFmtId="0" fontId="39" fillId="4" borderId="34" xfId="709" applyFill="1" applyBorder="1" applyAlignment="1">
      <alignment horizontal="left" vertical="top" wrapText="1"/>
    </xf>
    <xf numFmtId="14" fontId="41" fillId="0" borderId="43" xfId="709" applyNumberFormat="1" applyFont="1" applyBorder="1" applyAlignment="1">
      <alignment horizontal="center" vertical="top" wrapText="1"/>
    </xf>
    <xf numFmtId="0" fontId="38" fillId="3" borderId="0" xfId="709" applyFont="1" applyFill="1" applyAlignment="1">
      <alignment horizontal="center" vertical="top" wrapText="1"/>
    </xf>
    <xf numFmtId="0" fontId="39" fillId="4" borderId="34" xfId="709" applyFill="1" applyBorder="1" applyAlignment="1">
      <alignment horizontal="left" vertical="center" wrapText="1"/>
    </xf>
    <xf numFmtId="4" fontId="38" fillId="3" borderId="0" xfId="709" applyNumberFormat="1" applyFont="1" applyFill="1" applyAlignment="1">
      <alignment horizontal="justify" vertical="center" wrapText="1"/>
    </xf>
    <xf numFmtId="2" fontId="38" fillId="3" borderId="0" xfId="709" applyNumberFormat="1" applyFont="1" applyFill="1" applyAlignment="1">
      <alignment horizontal="right" vertical="center" wrapText="1"/>
    </xf>
    <xf numFmtId="4" fontId="38" fillId="3" borderId="0" xfId="709" applyNumberFormat="1" applyFont="1" applyFill="1" applyAlignment="1">
      <alignment horizontal="right" vertical="center" wrapText="1"/>
    </xf>
    <xf numFmtId="0" fontId="39" fillId="4" borderId="21" xfId="709" applyFill="1" applyBorder="1" applyAlignment="1">
      <alignment horizontal="left" vertical="center" wrapText="1"/>
    </xf>
    <xf numFmtId="0" fontId="39" fillId="4" borderId="62" xfId="709" applyFill="1" applyBorder="1" applyAlignment="1">
      <alignment horizontal="left" vertical="top" wrapText="1"/>
    </xf>
    <xf numFmtId="0" fontId="39" fillId="4" borderId="50" xfId="709" applyFill="1" applyBorder="1" applyAlignment="1">
      <alignment horizontal="left" vertical="top" wrapText="1"/>
    </xf>
    <xf numFmtId="14" fontId="41" fillId="0" borderId="53" xfId="0" applyNumberFormat="1" applyFont="1" applyBorder="1" applyAlignment="1">
      <alignment horizontal="center"/>
    </xf>
    <xf numFmtId="4" fontId="39" fillId="4" borderId="45" xfId="0" applyNumberFormat="1" applyFont="1" applyFill="1" applyBorder="1" applyAlignment="1">
      <alignment horizontal="center"/>
    </xf>
    <xf numFmtId="4" fontId="39" fillId="4" borderId="27" xfId="0" applyNumberFormat="1" applyFont="1" applyFill="1" applyBorder="1" applyAlignment="1">
      <alignment horizontal="center"/>
    </xf>
    <xf numFmtId="4" fontId="39" fillId="4" borderId="36" xfId="0" applyNumberFormat="1" applyFont="1" applyFill="1" applyBorder="1" applyAlignment="1">
      <alignment horizontal="center"/>
    </xf>
    <xf numFmtId="0" fontId="36" fillId="3" borderId="0" xfId="0" applyFont="1" applyFill="1" applyAlignment="1">
      <alignment horizontal="center" vertical="center"/>
    </xf>
    <xf numFmtId="14" fontId="41" fillId="0" borderId="57" xfId="0" applyNumberFormat="1" applyFont="1" applyBorder="1" applyAlignment="1">
      <alignment horizontal="center"/>
    </xf>
    <xf numFmtId="14" fontId="38" fillId="3" borderId="0" xfId="0" applyNumberFormat="1" applyFont="1" applyFill="1" applyAlignment="1">
      <alignment horizontal="center"/>
    </xf>
    <xf numFmtId="2" fontId="39" fillId="4" borderId="45" xfId="0" applyNumberFormat="1" applyFont="1" applyFill="1" applyBorder="1" applyAlignment="1">
      <alignment horizontal="center"/>
    </xf>
    <xf numFmtId="2" fontId="38" fillId="3" borderId="0" xfId="0" applyNumberFormat="1" applyFont="1" applyFill="1" applyAlignment="1">
      <alignment horizontal="center"/>
    </xf>
    <xf numFmtId="2" fontId="39" fillId="4" borderId="27" xfId="0" applyNumberFormat="1" applyFont="1" applyFill="1" applyBorder="1" applyAlignment="1">
      <alignment horizontal="center"/>
    </xf>
    <xf numFmtId="2" fontId="39" fillId="4" borderId="36" xfId="0" applyNumberFormat="1" applyFont="1" applyFill="1" applyBorder="1" applyAlignment="1">
      <alignment horizontal="center"/>
    </xf>
    <xf numFmtId="14" fontId="41" fillId="0" borderId="42" xfId="709" applyNumberFormat="1" applyFont="1" applyBorder="1" applyAlignment="1">
      <alignment horizontal="center" vertical="top"/>
    </xf>
    <xf numFmtId="4" fontId="39" fillId="4" borderId="62" xfId="709" applyNumberFormat="1" applyFill="1" applyBorder="1" applyAlignment="1">
      <alignment horizontal="center" wrapText="1"/>
    </xf>
    <xf numFmtId="4" fontId="39" fillId="0" borderId="62" xfId="709" applyNumberFormat="1" applyBorder="1" applyAlignment="1">
      <alignment horizontal="center" wrapText="1"/>
    </xf>
    <xf numFmtId="4" fontId="39" fillId="4" borderId="15" xfId="709" applyNumberFormat="1" applyFill="1" applyBorder="1" applyAlignment="1">
      <alignment horizontal="center" wrapText="1"/>
    </xf>
    <xf numFmtId="4" fontId="39" fillId="4" borderId="49" xfId="709" applyNumberFormat="1" applyFill="1" applyBorder="1" applyAlignment="1">
      <alignment horizontal="center" wrapText="1"/>
    </xf>
    <xf numFmtId="4" fontId="39" fillId="0" borderId="49" xfId="709" applyNumberFormat="1" applyBorder="1" applyAlignment="1">
      <alignment horizontal="center" wrapText="1"/>
    </xf>
    <xf numFmtId="4" fontId="39" fillId="4" borderId="27" xfId="709" applyNumberFormat="1" applyFill="1" applyBorder="1" applyAlignment="1">
      <alignment horizontal="center" wrapText="1"/>
    </xf>
    <xf numFmtId="4" fontId="39" fillId="4" borderId="50" xfId="709" applyNumberFormat="1" applyFill="1" applyBorder="1" applyAlignment="1">
      <alignment horizontal="center" wrapText="1"/>
    </xf>
    <xf numFmtId="4" fontId="39" fillId="0" borderId="50" xfId="709" applyNumberFormat="1" applyBorder="1" applyAlignment="1">
      <alignment horizontal="center" wrapText="1"/>
    </xf>
    <xf numFmtId="4" fontId="39" fillId="4" borderId="36" xfId="709" applyNumberFormat="1" applyFill="1" applyBorder="1" applyAlignment="1">
      <alignment horizontal="center" wrapText="1"/>
    </xf>
    <xf numFmtId="0" fontId="41" fillId="3" borderId="0" xfId="709" applyFont="1" applyFill="1" applyAlignment="1">
      <alignment horizontal="left" vertical="top" wrapText="1"/>
    </xf>
    <xf numFmtId="4" fontId="39" fillId="0" borderId="0" xfId="709" applyNumberFormat="1" applyAlignment="1">
      <alignment wrapText="1"/>
    </xf>
    <xf numFmtId="2" fontId="39" fillId="0" borderId="0" xfId="709" applyNumberFormat="1" applyAlignment="1">
      <alignment wrapText="1"/>
    </xf>
    <xf numFmtId="0" fontId="38" fillId="0" borderId="0" xfId="709" applyFont="1" applyAlignment="1">
      <alignment horizontal="center"/>
    </xf>
    <xf numFmtId="0" fontId="41" fillId="3" borderId="0" xfId="709" applyFont="1" applyFill="1" applyAlignment="1">
      <alignment horizontal="left"/>
    </xf>
    <xf numFmtId="0" fontId="41" fillId="3" borderId="0" xfId="709" applyFont="1" applyFill="1"/>
    <xf numFmtId="14" fontId="47" fillId="0" borderId="41" xfId="709" applyNumberFormat="1" applyFont="1" applyBorder="1"/>
    <xf numFmtId="4" fontId="39" fillId="0" borderId="41" xfId="773" applyNumberFormat="1" applyFont="1" applyFill="1" applyBorder="1" applyAlignment="1">
      <alignment horizontal="center"/>
    </xf>
    <xf numFmtId="0" fontId="38" fillId="3" borderId="0" xfId="0" applyFont="1" applyFill="1" applyAlignment="1">
      <alignment horizontal="center"/>
    </xf>
    <xf numFmtId="4" fontId="38" fillId="3" borderId="0" xfId="0" applyNumberFormat="1" applyFont="1" applyFill="1" applyAlignment="1">
      <alignment horizontal="center"/>
    </xf>
    <xf numFmtId="0" fontId="39" fillId="3" borderId="0" xfId="709" applyFill="1" applyAlignment="1">
      <alignment horizontal="center"/>
    </xf>
    <xf numFmtId="4" fontId="39" fillId="3" borderId="0" xfId="709" applyNumberFormat="1" applyFill="1" applyAlignment="1">
      <alignment horizontal="center"/>
    </xf>
    <xf numFmtId="0" fontId="50" fillId="8" borderId="24" xfId="0" applyFont="1" applyFill="1" applyBorder="1" applyAlignment="1"/>
    <xf numFmtId="0" fontId="50" fillId="8" borderId="22" xfId="0" applyFont="1" applyFill="1" applyBorder="1" applyAlignment="1"/>
    <xf numFmtId="0" fontId="11" fillId="4" borderId="64" xfId="0" applyFont="1" applyFill="1" applyBorder="1" applyAlignment="1">
      <alignment horizontal="center" wrapText="1"/>
    </xf>
    <xf numFmtId="0" fontId="11" fillId="4" borderId="60" xfId="0"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3" borderId="0" xfId="0" applyNumberFormat="1" applyFont="1" applyFill="1" applyBorder="1" applyAlignment="1">
      <alignment horizontal="center" vertical="center"/>
    </xf>
    <xf numFmtId="0" fontId="41" fillId="4" borderId="51" xfId="709" applyFont="1" applyFill="1" applyBorder="1" applyAlignment="1">
      <alignment horizontal="left"/>
    </xf>
    <xf numFmtId="0" fontId="41" fillId="4" borderId="51" xfId="709" applyFont="1" applyFill="1" applyBorder="1"/>
    <xf numFmtId="14" fontId="41" fillId="4" borderId="42" xfId="774" applyNumberFormat="1" applyFont="1" applyFill="1" applyBorder="1" applyAlignment="1">
      <alignment horizontal="center" vertical="top"/>
    </xf>
    <xf numFmtId="14" fontId="41" fillId="0" borderId="42" xfId="774" applyNumberFormat="1" applyFont="1" applyFill="1" applyBorder="1" applyAlignment="1">
      <alignment horizontal="center" vertical="top"/>
    </xf>
    <xf numFmtId="4" fontId="39" fillId="4" borderId="13" xfId="773" applyNumberFormat="1" applyFont="1" applyFill="1" applyBorder="1" applyAlignment="1">
      <alignment horizontal="center" wrapText="1"/>
    </xf>
    <xf numFmtId="4" fontId="39" fillId="4" borderId="13" xfId="709" applyNumberFormat="1" applyFill="1" applyBorder="1" applyAlignment="1">
      <alignment horizontal="center" wrapText="1"/>
    </xf>
    <xf numFmtId="4" fontId="39" fillId="4" borderId="44" xfId="773" applyNumberFormat="1" applyFont="1" applyFill="1" applyBorder="1" applyAlignment="1">
      <alignment horizontal="center" wrapText="1"/>
    </xf>
    <xf numFmtId="4" fontId="39" fillId="4" borderId="47" xfId="709" applyNumberFormat="1" applyFill="1" applyBorder="1" applyAlignment="1">
      <alignment horizontal="center" wrapText="1"/>
    </xf>
    <xf numFmtId="4" fontId="39" fillId="4" borderId="44" xfId="709" applyNumberFormat="1" applyFill="1" applyBorder="1" applyAlignment="1">
      <alignment horizontal="center" wrapText="1"/>
    </xf>
    <xf numFmtId="4" fontId="39" fillId="4" borderId="56" xfId="709" applyNumberFormat="1" applyFill="1" applyBorder="1" applyAlignment="1">
      <alignment horizontal="center" wrapText="1"/>
    </xf>
    <xf numFmtId="4" fontId="39" fillId="4" borderId="48" xfId="709" applyNumberFormat="1" applyFill="1" applyBorder="1" applyAlignment="1">
      <alignment horizontal="center" wrapText="1"/>
    </xf>
    <xf numFmtId="4" fontId="39" fillId="4" borderId="56" xfId="773" applyNumberFormat="1" applyFont="1" applyFill="1" applyBorder="1" applyAlignment="1">
      <alignment horizontal="center" wrapText="1"/>
    </xf>
    <xf numFmtId="0" fontId="54" fillId="0" borderId="0" xfId="709" applyFont="1" applyAlignment="1">
      <alignment horizontal="left" vertical="top"/>
    </xf>
    <xf numFmtId="14" fontId="47" fillId="4" borderId="41" xfId="709" applyNumberFormat="1" applyFont="1" applyFill="1" applyBorder="1"/>
    <xf numFmtId="4" fontId="39" fillId="4" borderId="41" xfId="773" applyNumberFormat="1" applyFont="1" applyFill="1" applyBorder="1" applyAlignment="1">
      <alignment horizontal="center"/>
    </xf>
    <xf numFmtId="49" fontId="11" fillId="4" borderId="20" xfId="0" applyNumberFormat="1" applyFont="1" applyFill="1" applyBorder="1" applyAlignment="1">
      <alignment horizontal="center"/>
    </xf>
    <xf numFmtId="0" fontId="14" fillId="3" borderId="47" xfId="0" applyFont="1" applyFill="1" applyBorder="1" applyAlignment="1">
      <alignment horizontal="left" wrapText="1" shrinkToFit="1"/>
    </xf>
    <xf numFmtId="0" fontId="14" fillId="3" borderId="14" xfId="0" applyFont="1" applyFill="1" applyBorder="1" applyAlignment="1">
      <alignment horizontal="left" wrapText="1" shrinkToFit="1"/>
    </xf>
    <xf numFmtId="2" fontId="14" fillId="0" borderId="15" xfId="0" applyNumberFormat="1" applyFont="1" applyBorder="1" applyAlignment="1">
      <alignment horizontal="center"/>
    </xf>
    <xf numFmtId="0" fontId="16" fillId="4" borderId="14" xfId="0" applyFont="1" applyFill="1" applyBorder="1" applyAlignment="1">
      <alignment horizontal="left" wrapText="1" shrinkToFit="1"/>
    </xf>
    <xf numFmtId="4" fontId="16" fillId="0" borderId="62" xfId="0" applyNumberFormat="1" applyFont="1" applyBorder="1" applyAlignment="1">
      <alignment horizontal="center"/>
    </xf>
    <xf numFmtId="2" fontId="16" fillId="0" borderId="15" xfId="0" applyNumberFormat="1" applyFont="1" applyBorder="1" applyAlignment="1">
      <alignment horizontal="center"/>
    </xf>
    <xf numFmtId="2" fontId="16" fillId="0" borderId="45" xfId="0" applyNumberFormat="1" applyFont="1" applyBorder="1" applyAlignment="1">
      <alignment horizontal="center"/>
    </xf>
    <xf numFmtId="4" fontId="16" fillId="0" borderId="54" xfId="0" applyNumberFormat="1" applyFont="1" applyBorder="1" applyAlignment="1">
      <alignment horizontal="center"/>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14" fontId="41" fillId="0" borderId="53" xfId="709" applyNumberFormat="1" applyFont="1" applyBorder="1" applyAlignment="1">
      <alignment horizontal="center" vertical="top" wrapText="1"/>
    </xf>
    <xf numFmtId="14" fontId="41" fillId="4" borderId="53" xfId="709" applyNumberFormat="1" applyFont="1" applyFill="1" applyBorder="1" applyAlignment="1">
      <alignment horizontal="center" vertical="top" wrapText="1"/>
    </xf>
    <xf numFmtId="0" fontId="63" fillId="0" borderId="49" xfId="709" applyFont="1" applyBorder="1" applyAlignment="1">
      <alignment horizontal="center" vertical="top" wrapText="1"/>
    </xf>
    <xf numFmtId="0" fontId="63" fillId="0" borderId="50" xfId="709" applyFont="1" applyBorder="1" applyAlignment="1">
      <alignment horizontal="center" vertical="top" wrapText="1"/>
    </xf>
    <xf numFmtId="168" fontId="62" fillId="0" borderId="50" xfId="773" applyFont="1" applyBorder="1" applyAlignment="1">
      <alignment horizontal="center" wrapText="1"/>
    </xf>
    <xf numFmtId="4" fontId="12" fillId="0" borderId="31" xfId="0" applyNumberFormat="1" applyFont="1" applyBorder="1" applyAlignment="1">
      <alignment horizontal="center"/>
    </xf>
    <xf numFmtId="164" fontId="12" fillId="0" borderId="55" xfId="80" applyFont="1" applyBorder="1" applyAlignment="1">
      <alignment horizontal="center"/>
    </xf>
    <xf numFmtId="4" fontId="12" fillId="0" borderId="7" xfId="0" applyNumberFormat="1" applyFont="1" applyBorder="1" applyAlignment="1">
      <alignment horizontal="center"/>
    </xf>
    <xf numFmtId="164" fontId="12" fillId="0" borderId="8" xfId="80" applyFont="1" applyBorder="1" applyAlignment="1">
      <alignment horizontal="center"/>
    </xf>
    <xf numFmtId="0" fontId="39" fillId="4" borderId="49" xfId="709" applyFont="1" applyFill="1" applyBorder="1" applyAlignment="1">
      <alignment horizontal="center" vertical="top" wrapText="1"/>
    </xf>
    <xf numFmtId="164" fontId="39" fillId="0" borderId="49" xfId="80" applyFont="1" applyBorder="1" applyAlignment="1">
      <alignment horizontal="center" vertical="center" wrapText="1"/>
    </xf>
    <xf numFmtId="164" fontId="39" fillId="0" borderId="44" xfId="80" applyFont="1" applyBorder="1" applyAlignment="1">
      <alignment horizontal="center" vertical="center" wrapText="1"/>
    </xf>
    <xf numFmtId="14" fontId="41" fillId="4" borderId="16" xfId="709" applyNumberFormat="1" applyFont="1" applyFill="1" applyBorder="1" applyAlignment="1">
      <alignment horizontal="center" vertical="top"/>
    </xf>
    <xf numFmtId="14" fontId="41" fillId="0" borderId="41" xfId="709" applyNumberFormat="1" applyFont="1" applyBorder="1" applyAlignment="1">
      <alignment horizontal="center" vertical="top"/>
    </xf>
    <xf numFmtId="14" fontId="41" fillId="4" borderId="17" xfId="709" applyNumberFormat="1" applyFont="1" applyFill="1" applyBorder="1" applyAlignment="1">
      <alignment horizontal="center" vertical="top"/>
    </xf>
    <xf numFmtId="14" fontId="41" fillId="4" borderId="23" xfId="774" applyNumberFormat="1" applyFont="1" applyFill="1" applyBorder="1" applyAlignment="1">
      <alignment horizontal="center" vertical="top"/>
    </xf>
    <xf numFmtId="14" fontId="41" fillId="0" borderId="41" xfId="774" applyNumberFormat="1" applyFont="1" applyFill="1" applyBorder="1" applyAlignment="1">
      <alignment horizontal="center" vertical="top"/>
    </xf>
    <xf numFmtId="4" fontId="39" fillId="0" borderId="46" xfId="773" applyNumberFormat="1" applyFont="1" applyBorder="1" applyAlignment="1">
      <alignment horizontal="center" wrapText="1"/>
    </xf>
    <xf numFmtId="4" fontId="39" fillId="0" borderId="42" xfId="709" applyNumberFormat="1" applyBorder="1" applyAlignment="1">
      <alignment horizontal="center" wrapText="1"/>
    </xf>
    <xf numFmtId="4" fontId="39" fillId="4" borderId="14" xfId="709" applyNumberFormat="1" applyFill="1" applyBorder="1" applyAlignment="1">
      <alignment horizontal="center" wrapText="1"/>
    </xf>
    <xf numFmtId="4" fontId="39" fillId="0" borderId="46" xfId="709" applyNumberFormat="1" applyBorder="1" applyAlignment="1">
      <alignment horizontal="center" wrapText="1"/>
    </xf>
    <xf numFmtId="14" fontId="47" fillId="4" borderId="53" xfId="709" applyNumberFormat="1" applyFont="1" applyFill="1" applyBorder="1"/>
    <xf numFmtId="4" fontId="39" fillId="4" borderId="53" xfId="773" applyNumberFormat="1" applyFont="1" applyFill="1" applyBorder="1" applyAlignment="1">
      <alignment horizontal="center"/>
    </xf>
    <xf numFmtId="0" fontId="39" fillId="4" borderId="50" xfId="709" applyFont="1" applyFill="1" applyBorder="1" applyAlignment="1">
      <alignment horizontal="center" vertical="top" wrapText="1"/>
    </xf>
    <xf numFmtId="0" fontId="14" fillId="0" borderId="0" xfId="0" applyFont="1" applyAlignment="1">
      <alignment horizontal="center"/>
    </xf>
    <xf numFmtId="0" fontId="28" fillId="4" borderId="0" xfId="0" applyFont="1" applyFill="1" applyAlignment="1">
      <alignment horizontal="center" vertical="center" wrapText="1"/>
    </xf>
    <xf numFmtId="0" fontId="15" fillId="0" borderId="0" xfId="0" applyFont="1" applyBorder="1" applyAlignment="1">
      <alignment horizontal="center"/>
    </xf>
    <xf numFmtId="0" fontId="15" fillId="0" borderId="0" xfId="0" applyFont="1" applyBorder="1" applyAlignment="1">
      <alignment horizontal="left" vertical="center" wrapText="1"/>
    </xf>
    <xf numFmtId="0" fontId="14" fillId="0" borderId="0" xfId="0" applyFont="1" applyAlignment="1">
      <alignment horizontal="center" vertical="center"/>
    </xf>
    <xf numFmtId="0" fontId="15" fillId="0" borderId="0" xfId="0" applyFont="1" applyBorder="1" applyAlignment="1">
      <alignment horizontal="left" vertical="center"/>
    </xf>
    <xf numFmtId="0" fontId="88" fillId="0" borderId="0" xfId="0" applyFont="1" applyBorder="1" applyAlignment="1">
      <alignment horizontal="left" vertical="center"/>
    </xf>
    <xf numFmtId="0" fontId="14" fillId="0" borderId="0" xfId="0" applyFont="1" applyAlignment="1">
      <alignment vertic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4" fillId="0" borderId="0" xfId="0" applyFont="1" applyBorder="1" applyAlignment="1">
      <alignment horizontal="center"/>
    </xf>
    <xf numFmtId="0" fontId="14" fillId="4" borderId="0" xfId="0" applyFont="1" applyFill="1" applyAlignment="1">
      <alignment horizontal="center" vertical="top" wrapText="1"/>
    </xf>
    <xf numFmtId="0" fontId="10" fillId="0" borderId="0" xfId="0" applyFont="1" applyBorder="1" applyAlignment="1">
      <alignment horizontal="center" wrapText="1"/>
    </xf>
    <xf numFmtId="0" fontId="15" fillId="0" borderId="0" xfId="0" applyFont="1" applyBorder="1" applyAlignment="1">
      <alignment horizontal="center" wrapText="1"/>
    </xf>
    <xf numFmtId="0" fontId="12" fillId="0" borderId="0" xfId="0" applyFont="1" applyBorder="1" applyAlignment="1">
      <alignment horizontal="left" vertical="center" wrapText="1"/>
    </xf>
    <xf numFmtId="0" fontId="12" fillId="0" borderId="0" xfId="0" applyFont="1" applyBorder="1" applyAlignment="1">
      <alignment horizontal="left" wrapText="1"/>
    </xf>
    <xf numFmtId="0" fontId="11" fillId="0" borderId="0" xfId="0" applyFont="1" applyBorder="1" applyAlignment="1">
      <alignment horizontal="left"/>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0" fontId="0" fillId="0" borderId="1" xfId="0" applyBorder="1" applyAlignment="1">
      <alignment horizontal="center" wrapText="1"/>
    </xf>
    <xf numFmtId="0" fontId="0" fillId="0" borderId="1" xfId="0" applyBorder="1" applyAlignment="1">
      <alignment horizontal="center"/>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3" xfId="0" applyBorder="1" applyAlignment="1">
      <alignment horizontal="left" wrapText="1"/>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xf>
    <xf numFmtId="0" fontId="13" fillId="4" borderId="54"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0" fontId="13" fillId="4" borderId="43" xfId="0" applyFont="1" applyFill="1" applyBorder="1" applyAlignment="1">
      <alignment horizontal="center" vertical="center" wrapText="1"/>
    </xf>
    <xf numFmtId="0" fontId="13" fillId="4" borderId="43"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14" fontId="33" fillId="6" borderId="51" xfId="0" applyNumberFormat="1" applyFont="1" applyFill="1" applyBorder="1" applyAlignment="1">
      <alignment horizontal="center" vertical="center"/>
    </xf>
    <xf numFmtId="14" fontId="33" fillId="6" borderId="53"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14" fontId="13" fillId="4" borderId="21" xfId="0" applyNumberFormat="1" applyFont="1" applyFill="1" applyBorder="1" applyAlignment="1">
      <alignment horizontal="center" vertical="center"/>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56" xfId="0" applyNumberFormat="1" applyFont="1" applyBorder="1" applyAlignment="1">
      <alignment horizontal="center"/>
    </xf>
    <xf numFmtId="4" fontId="14" fillId="0" borderId="36" xfId="0" applyNumberFormat="1" applyFont="1" applyBorder="1" applyAlignment="1">
      <alignment horizontal="center"/>
    </xf>
    <xf numFmtId="49" fontId="13" fillId="4" borderId="19" xfId="0" applyNumberFormat="1" applyFont="1" applyFill="1" applyBorder="1" applyAlignment="1">
      <alignment horizont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4" fontId="14" fillId="0" borderId="34" xfId="0" applyNumberFormat="1" applyFont="1" applyBorder="1" applyAlignment="1">
      <alignment horizontal="center"/>
    </xf>
    <xf numFmtId="4" fontId="14" fillId="0" borderId="45"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4" fontId="14" fillId="0" borderId="13" xfId="0" applyNumberFormat="1" applyFont="1" applyBorder="1" applyAlignment="1">
      <alignment horizontal="center"/>
    </xf>
    <xf numFmtId="4" fontId="14" fillId="0" borderId="15" xfId="0" applyNumberFormat="1" applyFont="1" applyBorder="1" applyAlignment="1">
      <alignment horizontal="center"/>
    </xf>
    <xf numFmtId="4" fontId="14" fillId="0" borderId="2" xfId="0" applyNumberFormat="1" applyFont="1" applyBorder="1" applyAlignment="1">
      <alignment horizontal="center"/>
    </xf>
    <xf numFmtId="4" fontId="14" fillId="0" borderId="14"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14" fontId="33" fillId="6" borderId="66"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1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20" xfId="0" applyFont="1" applyFill="1" applyBorder="1" applyAlignment="1">
      <alignment horizontal="center" vertical="center"/>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0" fontId="12" fillId="3" borderId="0" xfId="0" applyFont="1" applyFill="1" applyBorder="1" applyAlignment="1">
      <alignment horizontal="left"/>
    </xf>
    <xf numFmtId="14" fontId="33" fillId="6" borderId="61"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4" fontId="14" fillId="0" borderId="48" xfId="0" applyNumberFormat="1" applyFont="1" applyBorder="1" applyAlignment="1">
      <alignment horizontal="center"/>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19"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3" fillId="4" borderId="20" xfId="0" applyNumberFormat="1" applyFont="1" applyFill="1" applyBorder="1" applyAlignment="1">
      <alignment horizontal="center"/>
    </xf>
    <xf numFmtId="49"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14" fontId="32" fillId="6" borderId="52"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14" fontId="33" fillId="6" borderId="58" xfId="0" applyNumberFormat="1" applyFont="1" applyFill="1" applyBorder="1" applyAlignment="1">
      <alignment horizontal="center" vertical="center"/>
    </xf>
    <xf numFmtId="14" fontId="33" fillId="6" borderId="21"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2" fillId="6" borderId="51" xfId="0" applyNumberFormat="1" applyFont="1" applyFill="1" applyBorder="1" applyAlignment="1">
      <alignment horizontal="center" vertical="center"/>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12" fillId="3"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14" fontId="13" fillId="3" borderId="74" xfId="0" applyNumberFormat="1" applyFont="1" applyFill="1" applyBorder="1" applyAlignment="1">
      <alignment horizontal="center" vertical="center"/>
    </xf>
    <xf numFmtId="14" fontId="13" fillId="3" borderId="29" xfId="0" applyNumberFormat="1" applyFont="1" applyFill="1" applyBorder="1" applyAlignment="1">
      <alignment horizontal="center" vertical="center"/>
    </xf>
    <xf numFmtId="14" fontId="13" fillId="3" borderId="73" xfId="0" applyNumberFormat="1" applyFont="1" applyFill="1" applyBorder="1" applyAlignment="1">
      <alignment horizontal="center" vertical="center"/>
    </xf>
    <xf numFmtId="14" fontId="13" fillId="3" borderId="0" xfId="0" applyNumberFormat="1" applyFont="1" applyFill="1" applyBorder="1" applyAlignment="1">
      <alignment horizontal="center" vertical="center" wrapText="1"/>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2" fillId="0" borderId="51"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left"/>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14" fontId="14" fillId="3" borderId="0" xfId="0" applyNumberFormat="1" applyFont="1" applyFill="1" applyBorder="1" applyAlignment="1">
      <alignment horizontal="center"/>
    </xf>
    <xf numFmtId="0" fontId="14" fillId="0" borderId="0" xfId="0" applyFont="1" applyAlignment="1">
      <alignment horizontal="left" vertical="top" wrapText="1"/>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4" fillId="3" borderId="0" xfId="0" applyNumberFormat="1" applyFont="1" applyFill="1" applyBorder="1" applyAlignment="1">
      <alignment horizontal="left" vertical="top" wrapText="1"/>
    </xf>
    <xf numFmtId="14" fontId="13" fillId="4" borderId="22" xfId="0" applyNumberFormat="1" applyFont="1" applyFill="1" applyBorder="1" applyAlignment="1">
      <alignment horizontal="center" vertical="center" wrapText="1"/>
    </xf>
    <xf numFmtId="14" fontId="14" fillId="3" borderId="40" xfId="0" applyNumberFormat="1" applyFont="1" applyFill="1" applyBorder="1" applyAlignment="1">
      <alignment horizontal="left" vertical="center" wrapText="1"/>
    </xf>
    <xf numFmtId="14" fontId="14" fillId="3" borderId="2" xfId="0" applyNumberFormat="1" applyFont="1" applyFill="1" applyBorder="1" applyAlignment="1">
      <alignment horizontal="left" vertical="center" wrapText="1"/>
    </xf>
    <xf numFmtId="14" fontId="14" fillId="3" borderId="33" xfId="0" applyNumberFormat="1" applyFont="1" applyFill="1" applyBorder="1" applyAlignment="1">
      <alignment horizontal="left" vertical="center" wrapText="1"/>
    </xf>
    <xf numFmtId="4" fontId="77" fillId="0" borderId="39" xfId="0" applyNumberFormat="1" applyFont="1" applyBorder="1" applyAlignment="1" applyProtection="1">
      <alignment horizontal="center"/>
    </xf>
    <xf numFmtId="4" fontId="77" fillId="0" borderId="37"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77" fillId="4" borderId="9" xfId="0" applyFont="1" applyFill="1" applyBorder="1" applyAlignment="1">
      <alignment horizontal="center" vertical="center" wrapText="1"/>
    </xf>
    <xf numFmtId="0" fontId="77" fillId="4" borderId="10" xfId="0" applyFont="1" applyFill="1" applyBorder="1" applyAlignment="1">
      <alignment horizontal="center" vertical="center" wrapText="1"/>
    </xf>
    <xf numFmtId="0" fontId="77" fillId="4" borderId="11" xfId="0" applyFont="1" applyFill="1" applyBorder="1" applyAlignment="1">
      <alignment horizontal="center" vertical="center" wrapText="1"/>
    </xf>
    <xf numFmtId="0" fontId="77" fillId="4" borderId="4" xfId="0" applyFont="1" applyFill="1" applyBorder="1" applyAlignment="1">
      <alignment horizontal="center" vertical="center" wrapText="1"/>
    </xf>
    <xf numFmtId="0" fontId="77" fillId="4" borderId="5" xfId="0" applyFont="1" applyFill="1" applyBorder="1" applyAlignment="1">
      <alignment horizontal="center" vertical="center" wrapText="1"/>
    </xf>
    <xf numFmtId="0" fontId="77" fillId="4" borderId="6" xfId="0" applyFont="1" applyFill="1" applyBorder="1" applyAlignment="1">
      <alignment horizontal="center" vertical="center" wrapText="1"/>
    </xf>
    <xf numFmtId="0" fontId="77" fillId="4" borderId="7"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77" fillId="4" borderId="8" xfId="0" applyFont="1" applyFill="1" applyBorder="1" applyAlignment="1">
      <alignment horizontal="center" vertical="center" wrapText="1"/>
    </xf>
    <xf numFmtId="0" fontId="77" fillId="4" borderId="75" xfId="0" applyFont="1" applyFill="1" applyBorder="1" applyAlignment="1">
      <alignment horizontal="center" vertical="center" wrapText="1"/>
    </xf>
    <xf numFmtId="0" fontId="77" fillId="4" borderId="76" xfId="0" applyFont="1" applyFill="1" applyBorder="1" applyAlignment="1">
      <alignment horizontal="center" vertical="center" wrapText="1"/>
    </xf>
    <xf numFmtId="4" fontId="14" fillId="0" borderId="5" xfId="0" applyNumberFormat="1" applyFont="1" applyBorder="1" applyAlignment="1">
      <alignment horizontal="center"/>
    </xf>
    <xf numFmtId="4" fontId="14" fillId="0" borderId="39" xfId="0" applyNumberFormat="1" applyFont="1" applyBorder="1" applyAlignment="1">
      <alignment horizont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32" xfId="0" applyNumberFormat="1" applyFont="1" applyBorder="1" applyAlignment="1">
      <alignment horizontal="center"/>
    </xf>
    <xf numFmtId="4" fontId="14" fillId="0" borderId="78" xfId="0" applyNumberFormat="1" applyFont="1" applyBorder="1" applyAlignment="1">
      <alignment horizontal="center"/>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3" fillId="11" borderId="16" xfId="0" applyFont="1" applyFill="1" applyBorder="1" applyAlignment="1" applyProtection="1">
      <alignment horizontal="center" vertical="top" wrapText="1"/>
    </xf>
    <xf numFmtId="0" fontId="23" fillId="11" borderId="23" xfId="0" applyFont="1" applyFill="1" applyBorder="1" applyAlignment="1" applyProtection="1">
      <alignment horizontal="center" vertical="top" wrapText="1"/>
    </xf>
    <xf numFmtId="0" fontId="23" fillId="11" borderId="17"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7"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5"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77" xfId="0" applyNumberFormat="1" applyFont="1" applyBorder="1" applyAlignment="1">
      <alignment horizontal="center" vertical="center"/>
    </xf>
    <xf numFmtId="4" fontId="14" fillId="0" borderId="55" xfId="0" applyNumberFormat="1" applyFont="1" applyBorder="1" applyAlignment="1">
      <alignment horizontal="center" vertical="center"/>
    </xf>
    <xf numFmtId="4" fontId="77" fillId="0" borderId="31" xfId="0" applyNumberFormat="1" applyFont="1" applyBorder="1" applyAlignment="1">
      <alignment horizontal="center"/>
    </xf>
    <xf numFmtId="4" fontId="77" fillId="0" borderId="77" xfId="0" applyNumberFormat="1" applyFont="1" applyBorder="1" applyAlignment="1">
      <alignment horizontal="center"/>
    </xf>
    <xf numFmtId="4" fontId="77" fillId="0" borderId="55" xfId="0" applyNumberFormat="1" applyFont="1" applyBorder="1" applyAlignment="1">
      <alignment horizontal="center"/>
    </xf>
    <xf numFmtId="0" fontId="12" fillId="4" borderId="59" xfId="0" applyFont="1" applyFill="1" applyBorder="1" applyAlignment="1">
      <alignment horizontal="center" vertical="center" wrapText="1"/>
    </xf>
    <xf numFmtId="0" fontId="12" fillId="4" borderId="6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4" fontId="77" fillId="0" borderId="18" xfId="0" applyNumberFormat="1" applyFont="1" applyBorder="1" applyAlignment="1">
      <alignment horizontal="center"/>
    </xf>
    <xf numFmtId="4" fontId="77"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4" fontId="77" fillId="3" borderId="48" xfId="0" applyNumberFormat="1" applyFont="1" applyFill="1" applyBorder="1" applyAlignment="1">
      <alignment horizontal="center"/>
    </xf>
    <xf numFmtId="4" fontId="77" fillId="3" borderId="18" xfId="0" applyNumberFormat="1" applyFont="1" applyFill="1" applyBorder="1" applyAlignment="1">
      <alignment horizontal="center"/>
    </xf>
    <xf numFmtId="0" fontId="82" fillId="0" borderId="23" xfId="0" applyFont="1" applyBorder="1" applyAlignment="1">
      <alignment horizontal="left" vertical="top" wrapText="1"/>
    </xf>
    <xf numFmtId="0" fontId="82" fillId="0" borderId="0" xfId="0" applyFont="1" applyBorder="1" applyAlignment="1">
      <alignment horizontal="left" vertical="top" wrapText="1"/>
    </xf>
    <xf numFmtId="0" fontId="82" fillId="0" borderId="24" xfId="0" applyFont="1" applyBorder="1" applyAlignment="1">
      <alignment horizontal="left" vertical="top" wrapText="1"/>
    </xf>
    <xf numFmtId="0" fontId="74" fillId="4" borderId="25" xfId="0" applyFont="1" applyFill="1" applyBorder="1" applyAlignment="1">
      <alignment horizontal="center" vertical="center" wrapText="1"/>
    </xf>
    <xf numFmtId="0" fontId="74" fillId="4" borderId="14" xfId="0" applyFont="1" applyFill="1" applyBorder="1" applyAlignment="1">
      <alignment horizontal="center" vertical="center" wrapText="1"/>
    </xf>
    <xf numFmtId="0" fontId="74" fillId="4" borderId="15" xfId="0" applyFont="1" applyFill="1" applyBorder="1" applyAlignment="1">
      <alignment horizontal="center" vertical="center" wrapText="1"/>
    </xf>
    <xf numFmtId="49" fontId="76" fillId="4" borderId="74" xfId="0" applyNumberFormat="1" applyFont="1" applyFill="1" applyBorder="1" applyAlignment="1">
      <alignment horizontal="center" vertical="center" wrapText="1"/>
    </xf>
    <xf numFmtId="49" fontId="76" fillId="4" borderId="29" xfId="0" applyNumberFormat="1" applyFont="1" applyFill="1" applyBorder="1" applyAlignment="1">
      <alignment horizontal="center" vertical="center" wrapText="1"/>
    </xf>
    <xf numFmtId="49" fontId="76" fillId="4" borderId="30" xfId="0" applyNumberFormat="1" applyFont="1" applyFill="1" applyBorder="1" applyAlignment="1">
      <alignment horizontal="center" vertical="center" wrapText="1"/>
    </xf>
    <xf numFmtId="49" fontId="76" fillId="4" borderId="40" xfId="0" applyNumberFormat="1" applyFont="1" applyFill="1" applyBorder="1" applyAlignment="1">
      <alignment horizontal="center" vertical="center" wrapText="1"/>
    </xf>
    <xf numFmtId="49" fontId="76" fillId="4" borderId="2" xfId="0" applyNumberFormat="1" applyFont="1" applyFill="1" applyBorder="1" applyAlignment="1">
      <alignment horizontal="center" vertical="center" wrapText="1"/>
    </xf>
    <xf numFmtId="49" fontId="76" fillId="4" borderId="45" xfId="0" applyNumberFormat="1" applyFont="1" applyFill="1" applyBorder="1" applyAlignment="1">
      <alignment horizontal="center" vertical="center" wrapText="1"/>
    </xf>
    <xf numFmtId="0" fontId="74" fillId="4" borderId="10" xfId="0" applyFont="1" applyFill="1" applyBorder="1" applyAlignment="1">
      <alignment horizontal="center" vertical="center" wrapText="1"/>
    </xf>
    <xf numFmtId="0" fontId="87" fillId="4" borderId="21" xfId="0" applyFont="1" applyFill="1" applyBorder="1" applyAlignment="1">
      <alignment horizontal="left" wrapText="1"/>
    </xf>
    <xf numFmtId="0" fontId="87" fillId="4" borderId="24" xfId="0" applyFont="1" applyFill="1" applyBorder="1" applyAlignment="1">
      <alignment horizontal="left" wrapText="1"/>
    </xf>
    <xf numFmtId="0" fontId="87" fillId="4" borderId="0" xfId="0" applyFont="1" applyFill="1" applyBorder="1" applyAlignment="1">
      <alignment horizontal="left" wrapText="1"/>
    </xf>
    <xf numFmtId="0" fontId="87" fillId="4" borderId="20" xfId="0" applyFont="1" applyFill="1" applyBorder="1" applyAlignment="1">
      <alignment horizontal="left" wrapText="1"/>
    </xf>
    <xf numFmtId="0" fontId="77" fillId="4" borderId="42" xfId="0" applyFont="1" applyFill="1" applyBorder="1" applyAlignment="1">
      <alignment horizontal="center" vertical="center" wrapText="1"/>
    </xf>
    <xf numFmtId="0" fontId="77" fillId="4" borderId="54" xfId="0" applyFont="1" applyFill="1" applyBorder="1" applyAlignment="1">
      <alignment horizontal="center" vertical="center" wrapText="1"/>
    </xf>
    <xf numFmtId="0" fontId="77" fillId="4" borderId="43" xfId="0" applyFont="1" applyFill="1" applyBorder="1" applyAlignment="1">
      <alignment horizontal="center" vertical="center" wrapText="1"/>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74" fillId="4" borderId="19" xfId="0" applyFont="1" applyFill="1" applyBorder="1" applyAlignment="1">
      <alignment horizontal="center"/>
    </xf>
    <xf numFmtId="0" fontId="74" fillId="4" borderId="0" xfId="0" applyFont="1" applyFill="1" applyBorder="1" applyAlignment="1">
      <alignment horizontal="center"/>
    </xf>
    <xf numFmtId="0" fontId="74" fillId="4" borderId="20" xfId="0" applyFont="1" applyFill="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77" fillId="4" borderId="62" xfId="0" applyFont="1" applyFill="1" applyBorder="1" applyAlignment="1">
      <alignment horizontal="center" vertical="center" wrapText="1"/>
    </xf>
    <xf numFmtId="0" fontId="77" fillId="4" borderId="49" xfId="0" applyFont="1" applyFill="1" applyBorder="1" applyAlignment="1">
      <alignment horizontal="center" vertical="center" wrapText="1"/>
    </xf>
    <xf numFmtId="0" fontId="77" fillId="4" borderId="50" xfId="0" applyFont="1" applyFill="1" applyBorder="1" applyAlignment="1">
      <alignment horizontal="center" vertical="center" wrapText="1"/>
    </xf>
    <xf numFmtId="0" fontId="77" fillId="4" borderId="26" xfId="0" applyFont="1" applyFill="1" applyBorder="1" applyAlignment="1">
      <alignment horizontal="center" vertical="center" wrapText="1"/>
    </xf>
    <xf numFmtId="0" fontId="77"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7" fillId="0" borderId="3" xfId="0" applyNumberFormat="1" applyFont="1" applyBorder="1" applyAlignment="1">
      <alignment horizontal="center"/>
    </xf>
    <xf numFmtId="4" fontId="77" fillId="0" borderId="8" xfId="0" applyNumberFormat="1" applyFont="1" applyBorder="1" applyAlignment="1">
      <alignment horizontal="center"/>
    </xf>
    <xf numFmtId="4" fontId="77"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2" fillId="4" borderId="51" xfId="0" applyFont="1" applyFill="1" applyBorder="1" applyAlignment="1">
      <alignment horizontal="center" vertical="center" wrapText="1"/>
    </xf>
    <xf numFmtId="0" fontId="72" fillId="4" borderId="52" xfId="0" applyFont="1" applyFill="1" applyBorder="1" applyAlignment="1">
      <alignment horizontal="center" vertical="center" wrapText="1"/>
    </xf>
    <xf numFmtId="0" fontId="72" fillId="4" borderId="53" xfId="0" applyFont="1" applyFill="1" applyBorder="1" applyAlignment="1">
      <alignment horizontal="center" vertical="center" wrapText="1"/>
    </xf>
    <xf numFmtId="0" fontId="73" fillId="4" borderId="16" xfId="0" applyFont="1" applyFill="1" applyBorder="1" applyAlignment="1">
      <alignment horizontal="center"/>
    </xf>
    <xf numFmtId="0" fontId="73" fillId="4" borderId="23" xfId="0" applyFont="1" applyFill="1" applyBorder="1" applyAlignment="1">
      <alignment horizontal="center"/>
    </xf>
    <xf numFmtId="0" fontId="73" fillId="4" borderId="17" xfId="0" applyFont="1" applyFill="1" applyBorder="1" applyAlignment="1">
      <alignment horizontal="center"/>
    </xf>
    <xf numFmtId="4" fontId="77" fillId="3" borderId="39" xfId="0" applyNumberFormat="1" applyFont="1" applyFill="1" applyBorder="1" applyAlignment="1">
      <alignment horizontal="center"/>
    </xf>
    <xf numFmtId="0" fontId="74" fillId="4" borderId="42" xfId="0" applyFont="1" applyFill="1" applyBorder="1" applyAlignment="1">
      <alignment horizontal="center" vertical="center" wrapText="1"/>
    </xf>
    <xf numFmtId="0" fontId="74" fillId="4" borderId="54" xfId="0" applyFont="1" applyFill="1" applyBorder="1" applyAlignment="1">
      <alignment horizontal="center" vertical="center" wrapText="1"/>
    </xf>
    <xf numFmtId="0" fontId="74" fillId="4" borderId="43" xfId="0" applyFont="1" applyFill="1" applyBorder="1" applyAlignment="1">
      <alignment horizontal="center" vertical="center" wrapText="1"/>
    </xf>
    <xf numFmtId="0" fontId="74" fillId="4" borderId="16" xfId="0" applyFont="1" applyFill="1" applyBorder="1" applyAlignment="1">
      <alignment horizontal="center" vertical="center" wrapText="1"/>
    </xf>
    <xf numFmtId="0" fontId="74" fillId="4" borderId="23" xfId="0" applyFont="1" applyFill="1" applyBorder="1" applyAlignment="1">
      <alignment horizontal="center" vertical="center" wrapText="1"/>
    </xf>
    <xf numFmtId="0" fontId="74" fillId="4" borderId="72" xfId="0" applyFont="1" applyFill="1" applyBorder="1" applyAlignment="1">
      <alignment horizontal="center" vertical="center" wrapText="1"/>
    </xf>
    <xf numFmtId="14" fontId="75" fillId="6" borderId="28" xfId="0" applyNumberFormat="1" applyFont="1" applyFill="1" applyBorder="1" applyAlignment="1">
      <alignment horizontal="center" vertical="center" wrapText="1"/>
    </xf>
    <xf numFmtId="14" fontId="75" fillId="6" borderId="29" xfId="0" applyNumberFormat="1" applyFont="1" applyFill="1" applyBorder="1" applyAlignment="1">
      <alignment horizontal="center" vertical="center" wrapText="1"/>
    </xf>
    <xf numFmtId="14" fontId="75" fillId="6" borderId="73" xfId="0" applyNumberFormat="1" applyFont="1" applyFill="1" applyBorder="1" applyAlignment="1">
      <alignment horizontal="center" vertical="center" wrapText="1"/>
    </xf>
    <xf numFmtId="14" fontId="75" fillId="6" borderId="34" xfId="0" applyNumberFormat="1" applyFont="1" applyFill="1" applyBorder="1" applyAlignment="1">
      <alignment horizontal="center" vertical="center" wrapText="1"/>
    </xf>
    <xf numFmtId="14" fontId="75" fillId="6" borderId="2" xfId="0" applyNumberFormat="1" applyFont="1" applyFill="1" applyBorder="1" applyAlignment="1">
      <alignment horizontal="center" vertical="center" wrapText="1"/>
    </xf>
    <xf numFmtId="14" fontId="75"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4" fontId="77" fillId="3" borderId="2" xfId="0" applyNumberFormat="1" applyFont="1" applyFill="1" applyBorder="1" applyAlignment="1">
      <alignment horizontal="center"/>
    </xf>
    <xf numFmtId="4" fontId="77" fillId="3" borderId="33" xfId="0" applyNumberFormat="1" applyFont="1" applyFill="1" applyBorder="1" applyAlignment="1">
      <alignment horizont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7" fillId="0" borderId="33" xfId="0" applyNumberFormat="1" applyFont="1" applyBorder="1" applyAlignment="1">
      <alignment horizontal="center"/>
    </xf>
    <xf numFmtId="4" fontId="77" fillId="0" borderId="37" xfId="0" applyNumberFormat="1" applyFont="1" applyBorder="1" applyAlignment="1">
      <alignment horizontal="center"/>
    </xf>
    <xf numFmtId="4" fontId="77" fillId="4" borderId="32" xfId="0" applyNumberFormat="1" applyFont="1" applyFill="1" applyBorder="1" applyAlignment="1">
      <alignment horizontal="center"/>
    </xf>
    <xf numFmtId="4" fontId="77" fillId="4" borderId="78" xfId="0" applyNumberFormat="1" applyFont="1" applyFill="1" applyBorder="1" applyAlignment="1">
      <alignment horizontal="center"/>
    </xf>
    <xf numFmtId="4" fontId="77" fillId="4" borderId="55" xfId="0" applyNumberFormat="1" applyFont="1" applyFill="1" applyBorder="1" applyAlignment="1">
      <alignment horizontal="center"/>
    </xf>
    <xf numFmtId="0" fontId="82" fillId="0" borderId="0" xfId="0" applyFont="1" applyBorder="1" applyAlignment="1">
      <alignment horizontal="left" vertical="center"/>
    </xf>
    <xf numFmtId="4" fontId="77" fillId="0" borderId="40" xfId="0" applyNumberFormat="1" applyFont="1" applyBorder="1" applyAlignment="1">
      <alignment horizontal="center"/>
    </xf>
    <xf numFmtId="0" fontId="80" fillId="4" borderId="51" xfId="0" applyFont="1" applyFill="1" applyBorder="1" applyAlignment="1">
      <alignment horizontal="center" vertical="center"/>
    </xf>
    <xf numFmtId="0" fontId="80" fillId="4" borderId="52" xfId="0" applyFont="1" applyFill="1" applyBorder="1" applyAlignment="1">
      <alignment horizontal="center" vertical="center"/>
    </xf>
    <xf numFmtId="0" fontId="80" fillId="4" borderId="53" xfId="0" applyFont="1" applyFill="1" applyBorder="1" applyAlignment="1">
      <alignment horizontal="center" vertical="center"/>
    </xf>
    <xf numFmtId="4" fontId="77" fillId="0" borderId="12" xfId="0" applyNumberFormat="1" applyFont="1" applyBorder="1" applyAlignment="1">
      <alignment horizontal="center"/>
    </xf>
    <xf numFmtId="0" fontId="77" fillId="4" borderId="56" xfId="0" applyFont="1" applyFill="1" applyBorder="1" applyAlignment="1">
      <alignment horizontal="center"/>
    </xf>
    <xf numFmtId="0" fontId="77" fillId="4" borderId="48" xfId="0" applyFont="1" applyFill="1" applyBorder="1" applyAlignment="1">
      <alignment horizontal="center"/>
    </xf>
    <xf numFmtId="0" fontId="77" fillId="4" borderId="36" xfId="0" applyFont="1" applyFill="1" applyBorder="1" applyAlignment="1">
      <alignment horizontal="center"/>
    </xf>
    <xf numFmtId="0" fontId="77" fillId="4" borderId="46" xfId="0" applyFont="1" applyFill="1" applyBorder="1" applyAlignment="1">
      <alignment horizontal="center" vertical="center" wrapText="1"/>
    </xf>
    <xf numFmtId="0" fontId="77" fillId="4" borderId="72" xfId="0" applyFont="1" applyFill="1" applyBorder="1" applyAlignment="1">
      <alignment horizontal="center" vertical="center" wrapText="1"/>
    </xf>
    <xf numFmtId="0" fontId="77" fillId="4" borderId="33" xfId="0" applyFont="1" applyFill="1" applyBorder="1" applyAlignment="1">
      <alignment horizontal="center" vertical="center" wrapText="1"/>
    </xf>
    <xf numFmtId="0" fontId="77" fillId="4" borderId="63" xfId="0" applyFont="1" applyFill="1" applyBorder="1" applyAlignment="1">
      <alignment horizontal="center" vertical="center" wrapText="1"/>
    </xf>
    <xf numFmtId="0" fontId="77" fillId="4" borderId="39" xfId="0" applyFont="1" applyFill="1" applyBorder="1" applyAlignment="1">
      <alignment horizontal="center" vertical="center" wrapText="1"/>
    </xf>
    <xf numFmtId="0" fontId="78" fillId="8" borderId="63" xfId="0" applyFont="1" applyFill="1" applyBorder="1" applyAlignment="1">
      <alignment horizontal="center" vertical="center" wrapText="1"/>
    </xf>
    <xf numFmtId="0" fontId="78" fillId="8" borderId="39" xfId="0" applyFont="1" applyFill="1" applyBorder="1" applyAlignment="1">
      <alignment horizontal="center" vertical="center" wrapText="1"/>
    </xf>
    <xf numFmtId="0" fontId="78" fillId="8" borderId="5" xfId="0" applyFont="1" applyFill="1" applyBorder="1" applyAlignment="1">
      <alignment horizontal="center" vertical="center" wrapText="1"/>
    </xf>
    <xf numFmtId="0" fontId="78" fillId="8" borderId="1" xfId="0" applyFont="1" applyFill="1" applyBorder="1" applyAlignment="1">
      <alignment horizontal="center" vertical="center" wrapText="1"/>
    </xf>
    <xf numFmtId="4" fontId="77" fillId="0" borderId="65" xfId="0" applyNumberFormat="1" applyFont="1" applyBorder="1" applyAlignment="1">
      <alignment horizontal="center"/>
    </xf>
    <xf numFmtId="4" fontId="77" fillId="0" borderId="66" xfId="0" applyNumberFormat="1" applyFont="1" applyBorder="1" applyAlignment="1">
      <alignment horizontal="center"/>
    </xf>
    <xf numFmtId="4" fontId="77" fillId="0" borderId="57" xfId="0" applyNumberFormat="1" applyFont="1" applyBorder="1" applyAlignment="1">
      <alignment horizontal="center"/>
    </xf>
    <xf numFmtId="0" fontId="73" fillId="4" borderId="13" xfId="0" applyFont="1" applyFill="1" applyBorder="1" applyAlignment="1">
      <alignment horizontal="center"/>
    </xf>
    <xf numFmtId="0" fontId="73" fillId="4" borderId="14" xfId="0" applyFont="1" applyFill="1" applyBorder="1" applyAlignment="1">
      <alignment horizontal="center"/>
    </xf>
    <xf numFmtId="0" fontId="73"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69" fillId="8" borderId="16" xfId="0" applyFont="1" applyFill="1" applyBorder="1" applyAlignment="1">
      <alignment horizontal="center" vertical="center" wrapText="1"/>
    </xf>
    <xf numFmtId="0" fontId="69" fillId="8" borderId="23" xfId="0" applyFont="1" applyFill="1" applyBorder="1" applyAlignment="1">
      <alignment horizontal="center" vertical="center" wrapText="1"/>
    </xf>
    <xf numFmtId="0" fontId="69" fillId="8" borderId="72" xfId="0" applyFont="1" applyFill="1" applyBorder="1" applyAlignment="1">
      <alignment horizontal="center" vertical="center" wrapText="1"/>
    </xf>
    <xf numFmtId="0" fontId="69" fillId="8" borderId="34" xfId="0" applyFont="1" applyFill="1" applyBorder="1" applyAlignment="1">
      <alignment horizontal="center" vertical="center" wrapText="1"/>
    </xf>
    <xf numFmtId="0" fontId="69" fillId="8" borderId="2" xfId="0" applyFont="1" applyFill="1" applyBorder="1" applyAlignment="1">
      <alignment horizontal="center" vertical="center" wrapText="1"/>
    </xf>
    <xf numFmtId="0" fontId="69" fillId="8" borderId="33" xfId="0" applyFont="1" applyFill="1" applyBorder="1" applyAlignment="1">
      <alignment horizontal="center" vertical="center" wrapText="1"/>
    </xf>
    <xf numFmtId="14" fontId="33" fillId="6" borderId="21" xfId="0" applyNumberFormat="1" applyFont="1" applyFill="1" applyBorder="1" applyAlignment="1">
      <alignment horizontal="center" vertical="center" wrapText="1"/>
    </xf>
    <xf numFmtId="14" fontId="33" fillId="6" borderId="24" xfId="0" applyNumberFormat="1" applyFont="1" applyFill="1" applyBorder="1" applyAlignment="1">
      <alignment horizontal="center" vertical="center" wrapText="1"/>
    </xf>
    <xf numFmtId="14" fontId="33" fillId="6" borderId="32" xfId="0" applyNumberFormat="1" applyFont="1" applyFill="1" applyBorder="1" applyAlignment="1">
      <alignment horizontal="center" vertical="center" wrapText="1"/>
    </xf>
    <xf numFmtId="4" fontId="14" fillId="0" borderId="24"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5" xfId="0" applyFont="1" applyFill="1" applyBorder="1" applyAlignment="1">
      <alignment horizontal="center" vertical="center" wrapText="1"/>
    </xf>
    <xf numFmtId="49" fontId="13" fillId="4" borderId="78" xfId="0" applyNumberFormat="1" applyFont="1" applyFill="1" applyBorder="1" applyAlignment="1">
      <alignment horizontal="center" vertical="center" wrapText="1"/>
    </xf>
    <xf numFmtId="49" fontId="13" fillId="4" borderId="24" xfId="0" applyNumberFormat="1" applyFont="1" applyFill="1" applyBorder="1" applyAlignment="1">
      <alignment horizontal="center" vertical="center" wrapText="1"/>
    </xf>
    <xf numFmtId="49" fontId="13" fillId="4" borderId="22" xfId="0" applyNumberFormat="1" applyFont="1" applyFill="1" applyBorder="1" applyAlignment="1">
      <alignment horizontal="center" vertical="center" wrapText="1"/>
    </xf>
    <xf numFmtId="4" fontId="14" fillId="0" borderId="22" xfId="0" applyNumberFormat="1" applyFont="1" applyBorder="1" applyAlignment="1">
      <alignment horizontal="center"/>
    </xf>
    <xf numFmtId="0" fontId="73" fillId="4" borderId="51" xfId="0" applyFont="1" applyFill="1" applyBorder="1" applyAlignment="1">
      <alignment horizontal="center"/>
    </xf>
    <xf numFmtId="0" fontId="73" fillId="4" borderId="52" xfId="0" applyFont="1" applyFill="1" applyBorder="1" applyAlignment="1">
      <alignment horizontal="center"/>
    </xf>
    <xf numFmtId="0" fontId="73" fillId="4" borderId="53" xfId="0" applyFont="1" applyFill="1" applyBorder="1" applyAlignment="1">
      <alignment horizontal="center"/>
    </xf>
    <xf numFmtId="0" fontId="77" fillId="4" borderId="25" xfId="0" applyFont="1" applyFill="1" applyBorder="1" applyAlignment="1">
      <alignment horizontal="center" vertical="center" wrapText="1"/>
    </xf>
    <xf numFmtId="0" fontId="77" fillId="4" borderId="12" xfId="0" applyFont="1" applyFill="1" applyBorder="1" applyAlignment="1">
      <alignment horizontal="center" vertical="center" wrapText="1"/>
    </xf>
    <xf numFmtId="0" fontId="73" fillId="4" borderId="65" xfId="0" applyFont="1" applyFill="1" applyBorder="1" applyAlignment="1">
      <alignment horizontal="center"/>
    </xf>
    <xf numFmtId="0" fontId="73" fillId="4" borderId="66" xfId="0" applyFont="1" applyFill="1" applyBorder="1" applyAlignment="1">
      <alignment horizontal="center"/>
    </xf>
    <xf numFmtId="0" fontId="73" fillId="4" borderId="57" xfId="0" applyFont="1" applyFill="1" applyBorder="1" applyAlignment="1">
      <alignment horizontal="center"/>
    </xf>
    <xf numFmtId="0" fontId="74" fillId="4" borderId="9" xfId="0" applyFont="1" applyFill="1" applyBorder="1" applyAlignment="1">
      <alignment horizontal="center" vertical="center" wrapTex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0" fontId="16" fillId="4" borderId="13" xfId="0" applyFont="1" applyFill="1" applyBorder="1" applyAlignment="1">
      <alignment horizontal="left" wrapText="1" shrinkToFit="1"/>
    </xf>
    <xf numFmtId="0" fontId="16" fillId="4" borderId="14" xfId="0" applyFont="1" applyFill="1" applyBorder="1" applyAlignment="1">
      <alignment horizontal="left" wrapText="1" shrinkToFit="1"/>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4" fontId="16" fillId="0" borderId="13" xfId="0" applyNumberFormat="1" applyFont="1" applyBorder="1" applyAlignment="1">
      <alignment horizontal="center"/>
    </xf>
    <xf numFmtId="4" fontId="16" fillId="0" borderId="15" xfId="0" applyNumberFormat="1" applyFont="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4" fontId="16" fillId="0" borderId="14" xfId="0" applyNumberFormat="1" applyFont="1" applyBorder="1" applyAlignment="1">
      <alignment horizontal="center"/>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0" fontId="17" fillId="4" borderId="22" xfId="0" applyFont="1" applyFill="1" applyBorder="1" applyAlignment="1">
      <alignment horizontal="center" vertical="center"/>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92" fillId="4" borderId="21" xfId="709" applyFont="1" applyFill="1" applyBorder="1" applyAlignment="1">
      <alignment horizontal="center" vertical="center" wrapText="1"/>
    </xf>
    <xf numFmtId="0" fontId="92" fillId="4" borderId="24" xfId="709" applyFont="1" applyFill="1" applyBorder="1" applyAlignment="1">
      <alignment horizontal="center" vertical="center" wrapText="1"/>
    </xf>
    <xf numFmtId="0" fontId="92"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90" fillId="4" borderId="51" xfId="709" applyFont="1" applyFill="1" applyBorder="1" applyAlignment="1">
      <alignment horizontal="center" vertical="center"/>
    </xf>
    <xf numFmtId="0" fontId="90" fillId="4" borderId="52" xfId="709" applyFont="1" applyFill="1" applyBorder="1" applyAlignment="1">
      <alignment horizontal="center" vertical="center"/>
    </xf>
    <xf numFmtId="0" fontId="90" fillId="4" borderId="53" xfId="709" applyFont="1" applyFill="1" applyBorder="1" applyAlignment="1">
      <alignment horizontal="center" vertical="center"/>
    </xf>
    <xf numFmtId="0" fontId="40" fillId="4" borderId="51" xfId="709" applyFont="1" applyFill="1" applyBorder="1" applyAlignment="1" applyProtection="1">
      <alignment horizontal="center" vertical="center" wrapText="1"/>
      <protection locked="0"/>
    </xf>
    <xf numFmtId="0" fontId="40" fillId="4" borderId="53" xfId="709" applyFont="1" applyFill="1" applyBorder="1" applyAlignment="1" applyProtection="1">
      <alignment horizontal="center" vertical="center" wrapText="1"/>
      <protection locked="0"/>
    </xf>
    <xf numFmtId="0" fontId="15" fillId="4" borderId="21"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22" xfId="0" applyFont="1" applyFill="1" applyBorder="1" applyAlignment="1">
      <alignment horizontal="center" vertical="center"/>
    </xf>
    <xf numFmtId="4" fontId="16" fillId="0" borderId="54" xfId="0" applyNumberFormat="1" applyFont="1" applyBorder="1" applyAlignment="1">
      <alignment horizontal="center"/>
    </xf>
    <xf numFmtId="4" fontId="16" fillId="0" borderId="46" xfId="0" applyNumberFormat="1" applyFont="1" applyBorder="1" applyAlignment="1">
      <alignment horizontal="center"/>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19" xfId="0" applyFont="1" applyFill="1" applyBorder="1" applyAlignment="1">
      <alignment horizontal="left" wrapText="1" shrinkToFit="1"/>
    </xf>
    <xf numFmtId="0" fontId="16" fillId="4" borderId="0" xfId="0" applyFont="1" applyFill="1" applyBorder="1" applyAlignment="1">
      <alignment horizontal="left" wrapText="1" shrinkToFit="1"/>
    </xf>
    <xf numFmtId="0" fontId="16" fillId="4" borderId="20"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39" fillId="0" borderId="23" xfId="709" applyFont="1" applyBorder="1" applyAlignment="1">
      <alignment horizontal="center"/>
    </xf>
    <xf numFmtId="0" fontId="39" fillId="0" borderId="24" xfId="709" applyFont="1" applyBorder="1" applyAlignment="1">
      <alignment horizontal="center"/>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40" fillId="4" borderId="51" xfId="709" applyFont="1" applyFill="1" applyBorder="1" applyAlignment="1">
      <alignment horizontal="center" vertical="center" wrapText="1"/>
    </xf>
    <xf numFmtId="0" fontId="40" fillId="4" borderId="53" xfId="709" applyFont="1" applyFill="1" applyBorder="1" applyAlignment="1">
      <alignment horizontal="center" vertical="center" wrapText="1"/>
    </xf>
    <xf numFmtId="0" fontId="40" fillId="4" borderId="51" xfId="709" applyFont="1" applyFill="1" applyBorder="1" applyAlignment="1" applyProtection="1">
      <alignment horizontal="center" vertical="center"/>
      <protection locked="0"/>
    </xf>
    <xf numFmtId="0" fontId="40" fillId="4" borderId="52" xfId="709" applyFont="1" applyFill="1" applyBorder="1" applyAlignment="1" applyProtection="1">
      <alignment horizontal="center" vertical="center"/>
      <protection locked="0"/>
    </xf>
    <xf numFmtId="0" fontId="40" fillId="4" borderId="53" xfId="709" applyFont="1" applyFill="1" applyBorder="1" applyAlignment="1" applyProtection="1">
      <alignment horizontal="center" vertical="center"/>
      <protection locked="0"/>
    </xf>
    <xf numFmtId="0" fontId="40" fillId="4" borderId="51" xfId="709" applyFont="1" applyFill="1" applyBorder="1" applyAlignment="1">
      <alignment horizontal="center" vertical="center"/>
    </xf>
    <xf numFmtId="0" fontId="40" fillId="4" borderId="52" xfId="709" applyFont="1" applyFill="1" applyBorder="1" applyAlignment="1">
      <alignment horizontal="center" vertical="center"/>
    </xf>
    <xf numFmtId="0" fontId="40" fillId="4" borderId="53" xfId="709" applyFont="1" applyFill="1" applyBorder="1" applyAlignment="1">
      <alignment horizontal="center" vertical="center"/>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10"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6" fillId="4" borderId="2" xfId="0" applyFont="1" applyFill="1" applyBorder="1" applyAlignment="1">
      <alignment horizontal="left" wrapText="1" shrinkToFit="1"/>
    </xf>
    <xf numFmtId="0" fontId="17" fillId="4" borderId="23" xfId="0" applyFont="1" applyFill="1" applyBorder="1" applyAlignment="1">
      <alignment horizontal="center" vertical="center"/>
    </xf>
    <xf numFmtId="0" fontId="16" fillId="4" borderId="28" xfId="0" applyFont="1" applyFill="1" applyBorder="1" applyAlignment="1">
      <alignment horizontal="left" vertical="center" wrapText="1" shrinkToFit="1"/>
    </xf>
    <xf numFmtId="0" fontId="16" fillId="4" borderId="29" xfId="0" applyFont="1" applyFill="1" applyBorder="1" applyAlignment="1">
      <alignment horizontal="left" vertical="center" wrapText="1" shrinkToFit="1"/>
    </xf>
    <xf numFmtId="0" fontId="16" fillId="4" borderId="73" xfId="0" applyFont="1" applyFill="1" applyBorder="1" applyAlignment="1">
      <alignment horizontal="left" vertical="center" wrapText="1" shrinkToFit="1"/>
    </xf>
    <xf numFmtId="0" fontId="16" fillId="4" borderId="33" xfId="0" applyFont="1" applyFill="1" applyBorder="1" applyAlignment="1">
      <alignment horizontal="left" vertical="center" wrapText="1" shrinkToFit="1"/>
    </xf>
    <xf numFmtId="0" fontId="16" fillId="4" borderId="47" xfId="0" applyFont="1" applyFill="1" applyBorder="1" applyAlignment="1">
      <alignment horizontal="center" vertical="center" wrapText="1" shrinkToFit="1"/>
    </xf>
    <xf numFmtId="0" fontId="16" fillId="4" borderId="27" xfId="0" applyFont="1" applyFill="1" applyBorder="1" applyAlignment="1">
      <alignment horizontal="center" vertical="center" wrapText="1" shrinkToFit="1"/>
    </xf>
    <xf numFmtId="0" fontId="16" fillId="4" borderId="29" xfId="0" applyFont="1" applyFill="1" applyBorder="1" applyAlignment="1">
      <alignment horizontal="center" vertical="center" wrapText="1" shrinkToFit="1"/>
    </xf>
    <xf numFmtId="0" fontId="16" fillId="4" borderId="30" xfId="0" applyFont="1" applyFill="1" applyBorder="1" applyAlignment="1">
      <alignment horizontal="center" vertical="center" wrapText="1" shrinkToFit="1"/>
    </xf>
    <xf numFmtId="0" fontId="16" fillId="0" borderId="51" xfId="0" applyFont="1" applyFill="1" applyBorder="1" applyAlignment="1">
      <alignment horizontal="center" wrapText="1" shrinkToFit="1"/>
    </xf>
    <xf numFmtId="0" fontId="16" fillId="0" borderId="52" xfId="0" applyFont="1" applyFill="1" applyBorder="1" applyAlignment="1">
      <alignment horizontal="center" wrapText="1" shrinkToFit="1"/>
    </xf>
    <xf numFmtId="0" fontId="16" fillId="0" borderId="53" xfId="0" applyFont="1" applyFill="1" applyBorder="1" applyAlignment="1">
      <alignment horizontal="center" wrapText="1" shrinkToFit="1"/>
    </xf>
    <xf numFmtId="4" fontId="16" fillId="3" borderId="51" xfId="0" applyNumberFormat="1" applyFont="1" applyFill="1" applyBorder="1" applyAlignment="1">
      <alignment horizontal="center" vertical="center"/>
    </xf>
    <xf numFmtId="4" fontId="16" fillId="3" borderId="53" xfId="0" applyNumberFormat="1" applyFont="1" applyFill="1" applyBorder="1" applyAlignment="1">
      <alignment horizontal="center" vertical="center"/>
    </xf>
    <xf numFmtId="0" fontId="17" fillId="4" borderId="16" xfId="0" applyFont="1" applyFill="1" applyBorder="1" applyAlignment="1">
      <alignment horizontal="center"/>
    </xf>
    <xf numFmtId="0" fontId="17" fillId="4" borderId="17" xfId="0" applyFont="1" applyFill="1" applyBorder="1" applyAlignment="1">
      <alignment horizontal="center"/>
    </xf>
    <xf numFmtId="14" fontId="17" fillId="4" borderId="21" xfId="0" applyNumberFormat="1" applyFont="1" applyFill="1" applyBorder="1" applyAlignment="1">
      <alignment horizontal="center"/>
    </xf>
    <xf numFmtId="14" fontId="17" fillId="4" borderId="22" xfId="0" applyNumberFormat="1" applyFont="1" applyFill="1" applyBorder="1" applyAlignment="1">
      <alignment horizontal="center"/>
    </xf>
    <xf numFmtId="49" fontId="17" fillId="4" borderId="21" xfId="0" applyNumberFormat="1" applyFont="1" applyFill="1" applyBorder="1" applyAlignment="1">
      <alignment horizontal="center"/>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4" fontId="12" fillId="0" borderId="48" xfId="0" applyNumberFormat="1" applyFont="1" applyBorder="1" applyAlignment="1">
      <alignment horizontal="center"/>
    </xf>
    <xf numFmtId="4" fontId="12" fillId="0" borderId="36" xfId="0" applyNumberFormat="1" applyFont="1" applyBorder="1" applyAlignment="1">
      <alignment horizont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5" xfId="0" applyFont="1" applyFill="1" applyBorder="1" applyAlignment="1">
      <alignment horizontal="left" vertical="center"/>
    </xf>
    <xf numFmtId="4" fontId="12" fillId="0" borderId="14" xfId="0" applyNumberFormat="1" applyFont="1" applyBorder="1" applyAlignment="1">
      <alignment horizontal="center"/>
    </xf>
    <xf numFmtId="4" fontId="12" fillId="0" borderId="15" xfId="0" applyNumberFormat="1" applyFont="1" applyBorder="1" applyAlignment="1">
      <alignment horizontal="center"/>
    </xf>
    <xf numFmtId="164" fontId="39" fillId="0" borderId="68" xfId="80" applyFont="1" applyBorder="1" applyAlignment="1">
      <alignment horizontal="center" vertical="center" wrapText="1"/>
    </xf>
    <xf numFmtId="164" fontId="39" fillId="0" borderId="46" xfId="80" applyFont="1" applyBorder="1" applyAlignment="1">
      <alignment horizontal="center" vertical="center" wrapTex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89" fillId="4" borderId="19" xfId="709" applyFont="1" applyFill="1" applyBorder="1" applyAlignment="1">
      <alignment horizontal="center" wrapText="1"/>
    </xf>
    <xf numFmtId="0" fontId="89" fillId="4" borderId="0" xfId="709" applyFont="1" applyFill="1" applyBorder="1" applyAlignment="1">
      <alignment horizontal="center" wrapText="1"/>
    </xf>
    <xf numFmtId="0" fontId="89" fillId="4" borderId="20" xfId="709" applyFont="1" applyFill="1" applyBorder="1" applyAlignment="1">
      <alignment horizontal="center" wrapText="1"/>
    </xf>
    <xf numFmtId="0" fontId="89" fillId="4" borderId="21" xfId="709" applyFont="1" applyFill="1" applyBorder="1" applyAlignment="1">
      <alignment horizontal="center" wrapText="1"/>
    </xf>
    <xf numFmtId="0" fontId="89" fillId="4" borderId="24" xfId="709" applyFont="1" applyFill="1" applyBorder="1" applyAlignment="1">
      <alignment horizontal="center" wrapText="1"/>
    </xf>
    <xf numFmtId="0" fontId="89" fillId="4" borderId="22" xfId="709" applyFont="1" applyFill="1" applyBorder="1" applyAlignment="1">
      <alignment horizontal="center" wrapText="1"/>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4" fillId="4" borderId="20"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42" fillId="0" borderId="23" xfId="709" applyFont="1" applyBorder="1" applyAlignment="1">
      <alignment horizontal="center"/>
    </xf>
    <xf numFmtId="164" fontId="39" fillId="0" borderId="43" xfId="80" applyFont="1" applyBorder="1" applyAlignment="1">
      <alignment horizontal="center" vertical="center" wrapText="1"/>
    </xf>
    <xf numFmtId="0" fontId="14" fillId="0" borderId="19"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4" borderId="27" xfId="0" applyFont="1" applyFill="1" applyBorder="1" applyAlignment="1">
      <alignment horizontal="left"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4" fillId="4" borderId="21" xfId="709" applyFont="1" applyFill="1" applyBorder="1" applyAlignment="1">
      <alignment horizontal="center" vertical="center" wrapText="1"/>
    </xf>
    <xf numFmtId="0" fontId="64" fillId="4" borderId="24" xfId="709" applyFont="1" applyFill="1" applyBorder="1" applyAlignment="1">
      <alignment horizontal="center" vertical="center" wrapText="1"/>
    </xf>
    <xf numFmtId="0" fontId="64" fillId="4" borderId="22" xfId="709"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3" borderId="52" xfId="0" applyFont="1" applyFill="1" applyBorder="1" applyAlignment="1">
      <alignment horizontal="center"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7" fillId="4" borderId="21"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16" fillId="4" borderId="19" xfId="0" applyFont="1" applyFill="1" applyBorder="1" applyAlignment="1">
      <alignment horizontal="center"/>
    </xf>
    <xf numFmtId="0" fontId="16" fillId="4" borderId="0" xfId="0" applyFont="1" applyFill="1" applyBorder="1" applyAlignment="1">
      <alignment horizontal="center"/>
    </xf>
    <xf numFmtId="0" fontId="16" fillId="4" borderId="20" xfId="0" applyFont="1" applyFill="1" applyBorder="1" applyAlignment="1">
      <alignment horizontal="center"/>
    </xf>
    <xf numFmtId="0" fontId="39" fillId="4" borderId="51" xfId="709" applyFill="1" applyBorder="1" applyAlignment="1">
      <alignment horizontal="center"/>
    </xf>
    <xf numFmtId="0" fontId="39" fillId="4" borderId="52" xfId="709" applyFill="1" applyBorder="1" applyAlignment="1">
      <alignment horizontal="center"/>
    </xf>
    <xf numFmtId="0" fontId="39" fillId="4" borderId="53" xfId="709" applyFill="1" applyBorder="1" applyAlignment="1">
      <alignment horizontal="center"/>
    </xf>
    <xf numFmtId="0" fontId="86" fillId="4" borderId="16" xfId="709" applyFont="1" applyFill="1" applyBorder="1" applyAlignment="1">
      <alignment horizontal="center" vertical="top" wrapText="1"/>
    </xf>
    <xf numFmtId="0" fontId="86" fillId="4" borderId="17" xfId="709" applyFont="1" applyFill="1" applyBorder="1" applyAlignment="1">
      <alignment horizontal="center" vertical="top" wrapText="1"/>
    </xf>
    <xf numFmtId="0" fontId="39" fillId="4" borderId="9" xfId="709" applyFill="1" applyBorder="1" applyAlignment="1">
      <alignment horizontal="left" vertical="top" wrapText="1"/>
    </xf>
    <xf numFmtId="0" fontId="39" fillId="4" borderId="11" xfId="709" applyFill="1" applyBorder="1" applyAlignment="1">
      <alignment horizontal="left" vertical="top" wrapText="1"/>
    </xf>
    <xf numFmtId="14" fontId="41" fillId="4" borderId="5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14" fontId="41" fillId="0" borderId="51" xfId="709" applyNumberFormat="1" applyFont="1" applyBorder="1" applyAlignment="1">
      <alignment horizontal="center" vertical="top" wrapText="1"/>
    </xf>
    <xf numFmtId="14" fontId="41" fillId="0" borderId="53" xfId="709" applyNumberFormat="1" applyFont="1" applyBorder="1" applyAlignment="1">
      <alignment horizontal="center" vertical="top" wrapText="1"/>
    </xf>
    <xf numFmtId="4" fontId="39" fillId="4" borderId="51" xfId="773" applyNumberFormat="1" applyFont="1" applyFill="1" applyBorder="1" applyAlignment="1">
      <alignment horizontal="center" vertical="center" wrapText="1"/>
    </xf>
    <xf numFmtId="4" fontId="39" fillId="4" borderId="53" xfId="773" applyNumberFormat="1" applyFont="1" applyFill="1" applyBorder="1" applyAlignment="1">
      <alignment horizontal="center" vertical="center" wrapText="1"/>
    </xf>
    <xf numFmtId="4" fontId="39" fillId="0" borderId="51" xfId="773" applyNumberFormat="1" applyFont="1" applyFill="1" applyBorder="1" applyAlignment="1">
      <alignment horizontal="center" vertical="center"/>
    </xf>
    <xf numFmtId="4" fontId="39" fillId="0" borderId="53" xfId="773" applyNumberFormat="1" applyFont="1" applyFill="1" applyBorder="1" applyAlignment="1">
      <alignment horizontal="center" vertical="center"/>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39" fillId="4" borderId="44" xfId="709" applyFill="1" applyBorder="1" applyAlignment="1">
      <alignment horizontal="left"/>
    </xf>
    <xf numFmtId="0" fontId="39" fillId="4" borderId="47" xfId="709"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ill="1" applyBorder="1" applyAlignment="1">
      <alignment horizontal="left"/>
    </xf>
    <xf numFmtId="0" fontId="39" fillId="4" borderId="48" xfId="709" applyFill="1" applyBorder="1" applyAlignment="1">
      <alignment horizontal="left"/>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Alignment="1">
      <alignment horizontal="center"/>
    </xf>
    <xf numFmtId="0" fontId="40" fillId="4" borderId="20" xfId="0" applyFont="1" applyFill="1" applyBorder="1" applyAlignment="1">
      <alignment horizontal="center"/>
    </xf>
    <xf numFmtId="0" fontId="36" fillId="3" borderId="0" xfId="709" applyFont="1" applyFill="1" applyAlignment="1">
      <alignment horizontal="center"/>
    </xf>
    <xf numFmtId="0" fontId="38" fillId="0" borderId="0" xfId="709" applyFont="1" applyAlignment="1">
      <alignment horizontal="center" vertical="top" wrapText="1"/>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13"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0" fontId="14" fillId="4" borderId="43" xfId="0" applyFont="1" applyFill="1" applyBorder="1" applyAlignment="1">
      <alignment horizontal="center" vertical="center"/>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164" fontId="14" fillId="0" borderId="47" xfId="80" applyFont="1" applyBorder="1" applyAlignment="1">
      <alignment horizontal="center" vertical="center"/>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164" fontId="14" fillId="0" borderId="41"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83"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21" fillId="0" borderId="0" xfId="0" applyFont="1" applyBorder="1" applyAlignment="1">
      <alignment horizontal="center" vertical="center" wrapText="1"/>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0" fontId="18" fillId="3" borderId="19"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70"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2"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4" fontId="20" fillId="0" borderId="0" xfId="0" applyNumberFormat="1" applyFont="1" applyBorder="1" applyAlignment="1">
      <alignment horizontal="center"/>
    </xf>
    <xf numFmtId="0" fontId="14" fillId="4" borderId="42" xfId="0" applyFont="1" applyFill="1" applyBorder="1" applyAlignment="1">
      <alignment horizontal="center" vertical="center"/>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0" fontId="21" fillId="3" borderId="0" xfId="0" applyFont="1" applyFill="1" applyBorder="1" applyAlignment="1">
      <alignment horizontal="center"/>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4" fillId="3" borderId="44" xfId="0" applyFont="1" applyFill="1" applyBorder="1" applyAlignment="1">
      <alignment horizontal="left"/>
    </xf>
    <xf numFmtId="0" fontId="14" fillId="3" borderId="47" xfId="0" applyFont="1" applyFill="1" applyBorder="1" applyAlignment="1">
      <alignment horizontal="left"/>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0" fontId="52" fillId="3" borderId="0" xfId="0" applyFont="1" applyFill="1" applyBorder="1" applyAlignment="1">
      <alignment horizontal="left" vertical="center" wrapText="1"/>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166" fontId="12" fillId="3" borderId="21" xfId="0" applyNumberFormat="1" applyFont="1" applyFill="1" applyBorder="1" applyAlignment="1">
      <alignment horizontal="center"/>
    </xf>
    <xf numFmtId="166" fontId="12" fillId="3" borderId="24" xfId="0" applyNumberFormat="1" applyFont="1" applyFill="1" applyBorder="1" applyAlignment="1">
      <alignment horizontal="center"/>
    </xf>
    <xf numFmtId="166" fontId="12" fillId="3" borderId="22"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14" fontId="18" fillId="3" borderId="19" xfId="0" applyNumberFormat="1" applyFont="1" applyFill="1" applyBorder="1" applyAlignment="1">
      <alignment horizontal="center"/>
    </xf>
    <xf numFmtId="14" fontId="18" fillId="3" borderId="0" xfId="0" applyNumberFormat="1" applyFont="1" applyFill="1" applyBorder="1" applyAlignment="1">
      <alignment horizontal="center"/>
    </xf>
    <xf numFmtId="14" fontId="18" fillId="3" borderId="20" xfId="0" applyNumberFormat="1" applyFont="1" applyFill="1" applyBorder="1" applyAlignment="1">
      <alignment horizontal="center"/>
    </xf>
    <xf numFmtId="166" fontId="18" fillId="3" borderId="19" xfId="0" applyNumberFormat="1" applyFont="1" applyFill="1" applyBorder="1" applyAlignment="1">
      <alignment horizontal="center"/>
    </xf>
    <xf numFmtId="166" fontId="18" fillId="3" borderId="0" xfId="0" applyNumberFormat="1" applyFont="1" applyFill="1" applyBorder="1" applyAlignment="1">
      <alignment horizontal="center"/>
    </xf>
    <xf numFmtId="166" fontId="18" fillId="3" borderId="20" xfId="0" applyNumberFormat="1" applyFont="1" applyFill="1" applyBorder="1" applyAlignment="1">
      <alignment horizontal="center"/>
    </xf>
    <xf numFmtId="14" fontId="18" fillId="3" borderId="49" xfId="0" applyNumberFormat="1" applyFont="1" applyFill="1" applyBorder="1" applyAlignment="1">
      <alignment horizontal="center"/>
    </xf>
    <xf numFmtId="166" fontId="12" fillId="3" borderId="49" xfId="0" applyNumberFormat="1" applyFont="1" applyFill="1" applyBorder="1" applyAlignment="1">
      <alignment horizontal="center"/>
    </xf>
    <xf numFmtId="166" fontId="18" fillId="3" borderId="49" xfId="0" applyNumberFormat="1" applyFont="1" applyFill="1" applyBorder="1" applyAlignment="1">
      <alignment horizontal="center"/>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43" xfId="0" applyNumberFormat="1" applyFont="1" applyFill="1" applyBorder="1" applyAlignment="1">
      <alignment horizontal="center"/>
    </xf>
    <xf numFmtId="166" fontId="12" fillId="3" borderId="44" xfId="0" applyNumberFormat="1" applyFont="1" applyFill="1" applyBorder="1" applyAlignment="1">
      <alignment horizontal="center"/>
    </xf>
    <xf numFmtId="166" fontId="12" fillId="3" borderId="47" xfId="0" applyNumberFormat="1" applyFont="1" applyFill="1" applyBorder="1" applyAlignment="1">
      <alignment horizontal="center"/>
    </xf>
    <xf numFmtId="166" fontId="12" fillId="3" borderId="27" xfId="0" applyNumberFormat="1" applyFont="1" applyFill="1" applyBorder="1" applyAlignment="1">
      <alignment horizontal="center"/>
    </xf>
    <xf numFmtId="0" fontId="38" fillId="3" borderId="44" xfId="709" applyFont="1" applyFill="1" applyBorder="1" applyAlignment="1">
      <alignment horizontal="left"/>
    </xf>
    <xf numFmtId="0" fontId="38" fillId="3" borderId="47" xfId="709" applyFont="1" applyFill="1" applyBorder="1" applyAlignment="1">
      <alignment horizontal="left"/>
    </xf>
    <xf numFmtId="0" fontId="38" fillId="3" borderId="56" xfId="709" applyFont="1" applyFill="1" applyBorder="1" applyAlignment="1">
      <alignment horizontal="left"/>
    </xf>
    <xf numFmtId="0" fontId="38" fillId="3" borderId="48" xfId="709" applyFont="1" applyFill="1" applyBorder="1" applyAlignment="1">
      <alignment horizontal="left"/>
    </xf>
    <xf numFmtId="0" fontId="14" fillId="3" borderId="19" xfId="0" applyFont="1" applyFill="1" applyBorder="1" applyAlignment="1">
      <alignment horizontal="left" vertical="top" wrapText="1" shrinkToFit="1"/>
    </xf>
    <xf numFmtId="0" fontId="14" fillId="3" borderId="0" xfId="0" applyFont="1" applyFill="1" applyBorder="1" applyAlignment="1">
      <alignment horizontal="left" vertical="top" wrapText="1" shrinkToFit="1"/>
    </xf>
    <xf numFmtId="0" fontId="14" fillId="3" borderId="34" xfId="0" applyFont="1" applyFill="1" applyBorder="1" applyAlignment="1">
      <alignment horizontal="left" vertical="top" wrapText="1" shrinkToFit="1"/>
    </xf>
    <xf numFmtId="0" fontId="14" fillId="3" borderId="2" xfId="0" applyFont="1" applyFill="1" applyBorder="1" applyAlignment="1">
      <alignment horizontal="left" vertical="top" wrapText="1" shrinkToFit="1"/>
    </xf>
    <xf numFmtId="0" fontId="14" fillId="3" borderId="0" xfId="0" applyFont="1" applyFill="1" applyBorder="1" applyAlignment="1">
      <alignment horizontal="left" wrapText="1" shrinkToFit="1"/>
    </xf>
    <xf numFmtId="0" fontId="14" fillId="3" borderId="2" xfId="0" applyFont="1" applyFill="1" applyBorder="1" applyAlignment="1">
      <alignment horizontal="left" wrapText="1" shrinkToFit="1"/>
    </xf>
    <xf numFmtId="4" fontId="14" fillId="0" borderId="54" xfId="0" applyNumberFormat="1" applyFont="1" applyBorder="1" applyAlignment="1">
      <alignment horizontal="center"/>
    </xf>
    <xf numFmtId="4" fontId="14" fillId="0" borderId="46" xfId="0" applyNumberFormat="1" applyFont="1" applyBorder="1" applyAlignment="1">
      <alignment horizontal="center"/>
    </xf>
    <xf numFmtId="2" fontId="14" fillId="0" borderId="20" xfId="0" applyNumberFormat="1" applyFont="1" applyBorder="1" applyAlignment="1">
      <alignment horizontal="center"/>
    </xf>
    <xf numFmtId="2" fontId="14" fillId="0" borderId="45" xfId="0" applyNumberFormat="1" applyFont="1" applyBorder="1" applyAlignment="1">
      <alignment horizontal="center"/>
    </xf>
    <xf numFmtId="0" fontId="14" fillId="3" borderId="44" xfId="0" applyFont="1" applyFill="1" applyBorder="1" applyAlignment="1">
      <alignment horizontal="left" wrapText="1" shrinkToFit="1"/>
    </xf>
    <xf numFmtId="0" fontId="14" fillId="3" borderId="47" xfId="0" applyFont="1" applyFill="1" applyBorder="1" applyAlignment="1">
      <alignment horizontal="left" wrapText="1" shrinkToFit="1"/>
    </xf>
    <xf numFmtId="0" fontId="14" fillId="3" borderId="13" xfId="0" applyFont="1" applyFill="1" applyBorder="1" applyAlignment="1">
      <alignment horizontal="left" wrapText="1" shrinkToFit="1"/>
    </xf>
    <xf numFmtId="0" fontId="14" fillId="3" borderId="14" xfId="0" applyFont="1" applyFill="1" applyBorder="1" applyAlignment="1">
      <alignment horizontal="left" wrapText="1" shrinkToFit="1"/>
    </xf>
    <xf numFmtId="0" fontId="14" fillId="4" borderId="46"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cellXfs>
  <cellStyles count="1470">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16</xdr:row>
      <xdr:rowOff>63503</xdr:rowOff>
    </xdr:from>
    <xdr:to>
      <xdr:col>4</xdr:col>
      <xdr:colOff>1120775</xdr:colOff>
      <xdr:row>16</xdr:row>
      <xdr:rowOff>610580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76675" y="4622803"/>
          <a:ext cx="711200" cy="547077"/>
        </a:xfrm>
        <a:prstGeom prst="rect">
          <a:avLst/>
        </a:prstGeom>
      </xdr:spPr>
    </xdr:pic>
    <xdr:clientData/>
  </xdr:twoCellAnchor>
  <xdr:twoCellAnchor editAs="oneCell">
    <xdr:from>
      <xdr:col>4</xdr:col>
      <xdr:colOff>190500</xdr:colOff>
      <xdr:row>15</xdr:row>
      <xdr:rowOff>202311</xdr:rowOff>
    </xdr:from>
    <xdr:to>
      <xdr:col>4</xdr:col>
      <xdr:colOff>1242095</xdr:colOff>
      <xdr:row>15</xdr:row>
      <xdr:rowOff>482600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4342511"/>
          <a:ext cx="1051595" cy="280289"/>
        </a:xfrm>
        <a:prstGeom prst="rect">
          <a:avLst/>
        </a:prstGeom>
      </xdr:spPr>
    </xdr:pic>
    <xdr:clientData/>
  </xdr:twoCellAnchor>
  <xdr:twoCellAnchor editAs="oneCell">
    <xdr:from>
      <xdr:col>4</xdr:col>
      <xdr:colOff>444500</xdr:colOff>
      <xdr:row>17</xdr:row>
      <xdr:rowOff>38100</xdr:rowOff>
    </xdr:from>
    <xdr:to>
      <xdr:col>4</xdr:col>
      <xdr:colOff>1066799</xdr:colOff>
      <xdr:row>17</xdr:row>
      <xdr:rowOff>591021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20</xdr:row>
      <xdr:rowOff>79671</xdr:rowOff>
    </xdr:from>
    <xdr:to>
      <xdr:col>4</xdr:col>
      <xdr:colOff>1511300</xdr:colOff>
      <xdr:row>20</xdr:row>
      <xdr:rowOff>622300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4</xdr:col>
      <xdr:colOff>114300</xdr:colOff>
      <xdr:row>24</xdr:row>
      <xdr:rowOff>114300</xdr:rowOff>
    </xdr:from>
    <xdr:to>
      <xdr:col>4</xdr:col>
      <xdr:colOff>1435100</xdr:colOff>
      <xdr:row>24</xdr:row>
      <xdr:rowOff>533400</xdr:rowOff>
    </xdr:to>
    <xdr:pic>
      <xdr:nvPicPr>
        <xdr:cNvPr id="4" name="Billede 3">
          <a:extLst>
            <a:ext uri="{FF2B5EF4-FFF2-40B4-BE49-F238E27FC236}">
              <a16:creationId xmlns:a16="http://schemas.microsoft.com/office/drawing/2014/main" id="{2D659EF2-F35B-0742-B7E7-B22E2F8D3E48}"/>
            </a:ext>
          </a:extLst>
        </xdr:cNvPr>
        <xdr:cNvPicPr>
          <a:picLocks noChangeAspect="1"/>
        </xdr:cNvPicPr>
      </xdr:nvPicPr>
      <xdr:blipFill>
        <a:blip xmlns:r="http://schemas.openxmlformats.org/officeDocument/2006/relationships" r:embed="rId5"/>
        <a:stretch>
          <a:fillRect/>
        </a:stretch>
      </xdr:blipFill>
      <xdr:spPr>
        <a:xfrm>
          <a:off x="3581400" y="6896100"/>
          <a:ext cx="1320800" cy="419100"/>
        </a:xfrm>
        <a:prstGeom prst="rect">
          <a:avLst/>
        </a:prstGeom>
      </xdr:spPr>
    </xdr:pic>
    <xdr:clientData/>
  </xdr:twoCellAnchor>
  <xdr:twoCellAnchor editAs="oneCell">
    <xdr:from>
      <xdr:col>6</xdr:col>
      <xdr:colOff>264160</xdr:colOff>
      <xdr:row>15</xdr:row>
      <xdr:rowOff>325120</xdr:rowOff>
    </xdr:from>
    <xdr:to>
      <xdr:col>7</xdr:col>
      <xdr:colOff>645195</xdr:colOff>
      <xdr:row>15</xdr:row>
      <xdr:rowOff>640079</xdr:rowOff>
    </xdr:to>
    <xdr:pic>
      <xdr:nvPicPr>
        <xdr:cNvPr id="11" name="Billede 10" descr="logo 4 farvet jpg.jpg">
          <a:extLst>
            <a:ext uri="{FF2B5EF4-FFF2-40B4-BE49-F238E27FC236}">
              <a16:creationId xmlns:a16="http://schemas.microsoft.com/office/drawing/2014/main" id="{E2B13261-08E8-A84E-9CD1-FCC93A90C9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18480" y="4765040"/>
          <a:ext cx="1051595" cy="314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0"/>
  <sheetViews>
    <sheetView tabSelected="1" topLeftCell="A4" zoomScale="125" workbookViewId="0">
      <selection activeCell="F26" sqref="F26"/>
    </sheetView>
  </sheetViews>
  <sheetFormatPr baseColWidth="10" defaultColWidth="8.83203125" defaultRowHeight="15"/>
  <cols>
    <col min="1" max="1" width="29.1640625" style="36"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1" ht="35" customHeight="1">
      <c r="A1" s="1083"/>
      <c r="B1" s="1083"/>
      <c r="C1" s="1083"/>
      <c r="D1" s="1083"/>
      <c r="E1" s="1083"/>
      <c r="F1" s="1083"/>
      <c r="G1" s="1083"/>
      <c r="H1" s="1083"/>
      <c r="I1" s="1083"/>
    </row>
    <row r="2" spans="1:21" ht="30" customHeight="1">
      <c r="A2" s="1070"/>
      <c r="B2" s="1070"/>
      <c r="C2" s="1070"/>
      <c r="D2" s="1070"/>
      <c r="E2" s="1070"/>
      <c r="F2" s="1070"/>
      <c r="G2" s="1070"/>
      <c r="H2" s="1070"/>
      <c r="I2" s="1070"/>
    </row>
    <row r="3" spans="1:21" ht="37" customHeight="1">
      <c r="A3" s="1084" t="s">
        <v>82</v>
      </c>
      <c r="B3" s="1084"/>
      <c r="C3" s="1084"/>
      <c r="D3" s="1084"/>
      <c r="E3" s="1084"/>
      <c r="F3" s="1084"/>
      <c r="G3" s="1084"/>
      <c r="H3" s="1084"/>
      <c r="I3" s="1084"/>
      <c r="M3" s="1081"/>
      <c r="N3" s="1082"/>
      <c r="O3" s="1082"/>
      <c r="P3" s="1082"/>
      <c r="Q3" s="1082"/>
      <c r="R3" s="1082"/>
      <c r="S3" s="1082"/>
      <c r="T3" s="1082"/>
      <c r="U3" s="1082"/>
    </row>
    <row r="4" spans="1:21" ht="26" customHeight="1">
      <c r="A4" s="1084" t="s">
        <v>426</v>
      </c>
      <c r="B4" s="1084"/>
      <c r="C4" s="1084"/>
      <c r="D4" s="1084"/>
      <c r="E4" s="1084"/>
      <c r="F4" s="1084"/>
      <c r="G4" s="1084"/>
      <c r="H4" s="1084"/>
      <c r="I4" s="1084"/>
    </row>
    <row r="5" spans="1:21" s="33" customFormat="1" ht="14" customHeight="1">
      <c r="A5" s="1085"/>
      <c r="B5" s="1085"/>
      <c r="C5" s="1085"/>
      <c r="D5" s="1085"/>
      <c r="E5" s="1085"/>
      <c r="F5" s="1085"/>
      <c r="G5" s="1085"/>
      <c r="H5" s="1085"/>
      <c r="I5" s="1085"/>
    </row>
    <row r="6" spans="1:21" s="33" customFormat="1" ht="21" customHeight="1">
      <c r="A6" s="1087" t="s">
        <v>537</v>
      </c>
      <c r="B6" s="1087"/>
      <c r="C6" s="1087"/>
      <c r="D6" s="1087"/>
      <c r="E6" s="1087"/>
      <c r="F6" s="1087"/>
      <c r="G6" s="1087"/>
      <c r="H6" s="1087"/>
      <c r="I6" s="1087"/>
    </row>
    <row r="7" spans="1:21" s="33" customFormat="1" ht="36.75" customHeight="1">
      <c r="A7" s="1088" t="s">
        <v>530</v>
      </c>
      <c r="B7" s="1088"/>
      <c r="C7" s="1088"/>
      <c r="D7" s="1088"/>
      <c r="E7" s="1088"/>
      <c r="F7" s="1088"/>
      <c r="G7" s="1088"/>
      <c r="H7" s="1088"/>
      <c r="I7" s="1088"/>
    </row>
    <row r="8" spans="1:21" ht="18" customHeight="1">
      <c r="A8" s="1072" t="s">
        <v>536</v>
      </c>
      <c r="B8" s="1072"/>
      <c r="C8" s="1072"/>
      <c r="D8" s="1072"/>
      <c r="E8" s="1072"/>
      <c r="F8" s="1072"/>
      <c r="G8" s="1072"/>
      <c r="H8" s="1072"/>
      <c r="I8" s="1072"/>
    </row>
    <row r="9" spans="1:21" ht="18" customHeight="1">
      <c r="A9" s="1072"/>
      <c r="B9" s="1072"/>
      <c r="C9" s="1072"/>
      <c r="D9" s="1072"/>
      <c r="E9" s="1072"/>
      <c r="F9" s="1072"/>
      <c r="G9" s="1072"/>
      <c r="H9" s="1072"/>
      <c r="I9" s="1072"/>
    </row>
    <row r="10" spans="1:21" ht="18" customHeight="1">
      <c r="A10" s="1091" t="s">
        <v>477</v>
      </c>
      <c r="B10" s="1091"/>
      <c r="C10" s="1091"/>
      <c r="D10" s="1091"/>
      <c r="E10" s="1091"/>
      <c r="F10" s="1091"/>
      <c r="G10" s="1091"/>
      <c r="H10" s="1091"/>
      <c r="I10" s="1091"/>
    </row>
    <row r="11" spans="1:21" ht="18" customHeight="1">
      <c r="A11" s="1090" t="s">
        <v>25</v>
      </c>
      <c r="B11" s="1090"/>
      <c r="C11" s="1090"/>
      <c r="D11" s="1090"/>
      <c r="E11" s="1090"/>
      <c r="F11" s="1090"/>
      <c r="G11" s="1090"/>
      <c r="H11" s="1090"/>
      <c r="I11" s="1090"/>
    </row>
    <row r="12" spans="1:21" ht="18" customHeight="1">
      <c r="A12" s="1089" t="s">
        <v>538</v>
      </c>
      <c r="B12" s="1089"/>
      <c r="C12" s="1089"/>
      <c r="D12" s="1089"/>
      <c r="E12" s="1089"/>
      <c r="F12" s="1089"/>
      <c r="G12" s="1089"/>
      <c r="H12" s="1089"/>
      <c r="I12" s="1089"/>
    </row>
    <row r="13" spans="1:21" ht="18" customHeight="1">
      <c r="A13" s="1089" t="s">
        <v>539</v>
      </c>
      <c r="B13" s="1089"/>
      <c r="C13" s="1089"/>
      <c r="D13" s="1089"/>
      <c r="E13" s="1089"/>
      <c r="F13" s="1089"/>
      <c r="G13" s="1089"/>
      <c r="H13" s="1089"/>
      <c r="I13" s="1089"/>
    </row>
    <row r="14" spans="1:21" ht="18" customHeight="1">
      <c r="A14" s="1089" t="s">
        <v>541</v>
      </c>
      <c r="B14" s="1089"/>
      <c r="C14" s="1089"/>
      <c r="D14" s="1089"/>
      <c r="E14" s="1089"/>
      <c r="F14" s="1089"/>
      <c r="G14" s="1089"/>
      <c r="H14" s="1089"/>
      <c r="I14" s="1089"/>
    </row>
    <row r="15" spans="1:21" ht="21" customHeight="1">
      <c r="A15" s="789"/>
      <c r="B15" s="789"/>
      <c r="C15" s="789"/>
      <c r="D15" s="789"/>
      <c r="E15" s="789"/>
      <c r="F15" s="789"/>
      <c r="G15" s="789"/>
      <c r="H15" s="789"/>
      <c r="I15" s="789"/>
    </row>
    <row r="16" spans="1:21" ht="51" customHeight="1">
      <c r="A16" s="1073" t="s">
        <v>85</v>
      </c>
      <c r="B16" s="1073"/>
      <c r="C16" s="1073"/>
      <c r="D16" s="1073"/>
      <c r="E16" s="34"/>
      <c r="F16" s="1086" t="s">
        <v>336</v>
      </c>
      <c r="G16" s="1086"/>
      <c r="H16" s="1086"/>
      <c r="I16" s="1086"/>
    </row>
    <row r="17" spans="1:9" ht="51" customHeight="1">
      <c r="A17" s="1073" t="s">
        <v>83</v>
      </c>
      <c r="B17" s="1073"/>
      <c r="C17" s="1073"/>
      <c r="D17" s="1073"/>
      <c r="E17" s="34"/>
      <c r="F17" s="1071" t="s">
        <v>337</v>
      </c>
      <c r="G17" s="1071"/>
      <c r="H17" s="1071"/>
      <c r="I17" s="1071"/>
    </row>
    <row r="18" spans="1:9" ht="48" customHeight="1">
      <c r="A18" s="1073" t="s">
        <v>330</v>
      </c>
      <c r="B18" s="1073"/>
      <c r="C18" s="1073"/>
      <c r="D18" s="1073"/>
      <c r="E18" s="1074"/>
      <c r="F18" s="1071" t="s">
        <v>420</v>
      </c>
      <c r="G18" s="1071"/>
      <c r="H18" s="1071"/>
      <c r="I18" s="1071"/>
    </row>
    <row r="19" spans="1:9" ht="2" hidden="1" customHeight="1">
      <c r="A19" s="1073"/>
      <c r="B19" s="1073"/>
      <c r="C19" s="1073"/>
      <c r="D19" s="1073"/>
      <c r="E19" s="1074"/>
      <c r="F19" s="1071"/>
      <c r="G19" s="1071"/>
      <c r="H19" s="1071"/>
      <c r="I19" s="1071"/>
    </row>
    <row r="20" spans="1:9" ht="13" hidden="1" customHeight="1">
      <c r="A20" s="1073"/>
      <c r="B20" s="1073"/>
      <c r="C20" s="1073"/>
      <c r="D20" s="1073"/>
      <c r="E20" s="1074"/>
      <c r="F20" s="1071"/>
      <c r="G20" s="1071"/>
      <c r="H20" s="1071"/>
      <c r="I20" s="1071"/>
    </row>
    <row r="21" spans="1:9" ht="50" customHeight="1">
      <c r="A21" s="1075" t="s">
        <v>84</v>
      </c>
      <c r="B21" s="1075"/>
      <c r="C21" s="41"/>
      <c r="D21" s="41"/>
      <c r="E21" s="1074"/>
      <c r="F21" s="1071"/>
      <c r="G21" s="1071"/>
      <c r="H21" s="1071"/>
      <c r="I21" s="1071"/>
    </row>
    <row r="22" spans="1:9" ht="2" hidden="1" customHeight="1">
      <c r="A22" s="1075"/>
      <c r="B22" s="1075"/>
      <c r="C22" s="41"/>
      <c r="D22" s="41"/>
      <c r="E22" s="1074"/>
      <c r="F22" s="1071"/>
      <c r="G22" s="1071"/>
      <c r="H22" s="1071"/>
      <c r="I22" s="1071"/>
    </row>
    <row r="23" spans="1:9" ht="10" hidden="1" customHeight="1">
      <c r="A23" s="1075"/>
      <c r="B23" s="1075"/>
      <c r="C23" s="41"/>
      <c r="D23" s="41"/>
      <c r="E23" s="1074"/>
      <c r="F23" s="1071"/>
      <c r="G23" s="1071"/>
      <c r="H23" s="1071"/>
      <c r="I23" s="1071"/>
    </row>
    <row r="24" spans="1:9" ht="1" hidden="1" customHeight="1">
      <c r="A24" s="1075"/>
      <c r="B24" s="1075"/>
      <c r="C24" s="41"/>
      <c r="D24" s="41"/>
      <c r="E24" s="1074"/>
      <c r="F24" s="1071" t="s">
        <v>338</v>
      </c>
      <c r="G24" s="1071"/>
      <c r="H24" s="1071"/>
      <c r="I24" s="1071"/>
    </row>
    <row r="25" spans="1:9" ht="51" customHeight="1">
      <c r="A25" s="959" t="s">
        <v>482</v>
      </c>
      <c r="B25" s="959"/>
      <c r="C25" s="959"/>
      <c r="D25" s="959"/>
      <c r="E25" s="959"/>
      <c r="F25" s="1071" t="s">
        <v>543</v>
      </c>
      <c r="G25" s="1071"/>
      <c r="H25" s="1071"/>
      <c r="I25" s="1071"/>
    </row>
    <row r="26" spans="1:9" ht="15" customHeight="1">
      <c r="A26" s="957"/>
      <c r="B26" s="957"/>
      <c r="C26" s="957"/>
      <c r="D26" s="957"/>
      <c r="E26" s="957"/>
    </row>
    <row r="27" spans="1:9" ht="46" customHeight="1">
      <c r="A27" s="1076" t="s">
        <v>130</v>
      </c>
      <c r="B27" s="1076"/>
      <c r="C27" s="1076"/>
      <c r="D27" s="1076"/>
      <c r="E27" s="1076"/>
      <c r="F27" s="1076"/>
      <c r="G27" s="1076"/>
      <c r="H27" s="1076"/>
      <c r="I27" s="1076"/>
    </row>
    <row r="28" spans="1:9" ht="46" customHeight="1">
      <c r="A28" s="640"/>
      <c r="B28" s="640"/>
      <c r="C28" s="640"/>
      <c r="D28" s="640"/>
      <c r="E28" s="640"/>
      <c r="F28" s="958"/>
      <c r="G28" s="958"/>
      <c r="H28" s="958"/>
      <c r="I28" s="958"/>
    </row>
    <row r="29" spans="1:9" ht="85" customHeight="1">
      <c r="A29" s="1070"/>
      <c r="B29" s="1070"/>
      <c r="C29" s="1070"/>
      <c r="D29" s="1070"/>
      <c r="E29" s="15"/>
    </row>
    <row r="30" spans="1:9" ht="13" customHeight="1">
      <c r="B30" s="1077"/>
      <c r="C30" s="1077"/>
      <c r="D30" s="1077"/>
      <c r="E30" s="129"/>
    </row>
    <row r="31" spans="1:9">
      <c r="A31" s="37"/>
      <c r="B31" s="14"/>
      <c r="C31" s="14"/>
      <c r="D31" s="14"/>
      <c r="E31" s="14"/>
    </row>
    <row r="32" spans="1:9">
      <c r="A32" s="1070"/>
      <c r="B32" s="1070"/>
      <c r="C32" s="1070"/>
      <c r="D32" s="1070"/>
      <c r="E32" s="15"/>
      <c r="F32" s="639"/>
      <c r="G32" s="639"/>
      <c r="H32" s="639"/>
      <c r="I32" s="639"/>
    </row>
    <row r="33" spans="1:9">
      <c r="A33" s="639"/>
      <c r="B33" s="639"/>
      <c r="C33" s="639"/>
      <c r="D33" s="639"/>
      <c r="E33" s="639"/>
    </row>
    <row r="34" spans="1:9">
      <c r="A34" s="1070"/>
      <c r="B34" s="1070"/>
      <c r="C34" s="1070"/>
      <c r="D34" s="1070"/>
      <c r="E34" s="15"/>
    </row>
    <row r="35" spans="1:9">
      <c r="A35" s="1070"/>
      <c r="B35" s="1070"/>
      <c r="C35" s="1070"/>
      <c r="D35" s="1070"/>
      <c r="E35" s="15"/>
      <c r="H35" s="1070"/>
      <c r="I35" s="1070"/>
    </row>
    <row r="36" spans="1:9">
      <c r="A36" s="1070"/>
      <c r="B36" s="1070"/>
      <c r="C36" s="1070"/>
      <c r="D36" s="1070"/>
      <c r="E36" s="15"/>
      <c r="H36" s="1070"/>
      <c r="I36" s="1070"/>
    </row>
    <row r="37" spans="1:9">
      <c r="A37" s="1070"/>
      <c r="B37" s="1070"/>
      <c r="C37" s="1070"/>
      <c r="D37" s="1070"/>
      <c r="E37" s="15"/>
      <c r="H37" s="1070"/>
      <c r="I37" s="1070"/>
    </row>
    <row r="38" spans="1:9">
      <c r="A38" s="1070"/>
      <c r="B38" s="1070"/>
      <c r="C38" s="1070"/>
      <c r="D38" s="1070"/>
      <c r="E38" s="15"/>
      <c r="H38" s="1070"/>
      <c r="I38" s="1070"/>
    </row>
    <row r="39" spans="1:9">
      <c r="A39" s="1070"/>
      <c r="B39" s="1070"/>
      <c r="C39" s="1070"/>
      <c r="D39" s="1070"/>
      <c r="E39" s="15"/>
      <c r="H39" s="1070"/>
      <c r="I39" s="1070"/>
    </row>
    <row r="40" spans="1:9">
      <c r="A40" s="1070"/>
      <c r="B40" s="1070"/>
      <c r="C40" s="1070"/>
      <c r="D40" s="1070"/>
      <c r="E40" s="15"/>
      <c r="H40" s="1070"/>
      <c r="I40" s="1070"/>
    </row>
    <row r="41" spans="1:9">
      <c r="A41" s="1070"/>
      <c r="B41" s="1070"/>
      <c r="C41" s="1070"/>
      <c r="D41" s="1070"/>
      <c r="E41" s="15"/>
      <c r="H41" s="1070"/>
      <c r="I41" s="1070"/>
    </row>
    <row r="42" spans="1:9">
      <c r="A42" s="37"/>
      <c r="B42" s="15"/>
      <c r="C42" s="15"/>
      <c r="D42" s="15"/>
      <c r="E42" s="15"/>
      <c r="H42" s="1070"/>
      <c r="I42" s="1070"/>
    </row>
    <row r="43" spans="1:9" ht="18">
      <c r="A43" s="41"/>
      <c r="B43" s="1077"/>
      <c r="C43" s="1077"/>
      <c r="D43" s="1077"/>
      <c r="E43" s="39"/>
      <c r="H43" s="1070"/>
      <c r="I43" s="1070"/>
    </row>
    <row r="44" spans="1:9">
      <c r="A44" s="37"/>
      <c r="B44" s="14"/>
      <c r="C44" s="14"/>
      <c r="D44" s="14"/>
      <c r="E44" s="14"/>
      <c r="H44" s="1070"/>
      <c r="I44" s="1070"/>
    </row>
    <row r="45" spans="1:9" ht="16">
      <c r="A45" s="1080"/>
      <c r="B45" s="1080"/>
      <c r="C45" s="1080"/>
      <c r="D45" s="1080"/>
      <c r="E45" s="35"/>
    </row>
    <row r="46" spans="1:9" ht="18">
      <c r="A46" s="1079"/>
      <c r="B46" s="1079"/>
      <c r="C46" s="1079"/>
      <c r="D46" s="1079"/>
      <c r="E46" s="39"/>
    </row>
    <row r="47" spans="1:9">
      <c r="A47" s="37"/>
      <c r="B47" s="14"/>
      <c r="C47" s="14"/>
      <c r="D47" s="14"/>
      <c r="E47" s="14"/>
    </row>
    <row r="48" spans="1:9">
      <c r="A48" s="37"/>
      <c r="B48" s="14"/>
      <c r="C48" s="14"/>
      <c r="D48" s="14"/>
      <c r="E48" s="14"/>
    </row>
    <row r="49" spans="1:9">
      <c r="A49" s="37"/>
      <c r="B49" s="14"/>
      <c r="C49" s="14"/>
      <c r="D49" s="14"/>
      <c r="E49" s="14"/>
    </row>
    <row r="50" spans="1:9">
      <c r="A50" s="37"/>
      <c r="B50" s="14"/>
      <c r="C50" s="14"/>
      <c r="D50" s="14"/>
      <c r="E50" s="14"/>
    </row>
    <row r="51" spans="1:9">
      <c r="A51" s="37"/>
      <c r="B51" s="14"/>
      <c r="C51" s="14"/>
      <c r="D51" s="14"/>
      <c r="E51" s="14"/>
    </row>
    <row r="54" spans="1:9">
      <c r="I54" s="40"/>
    </row>
    <row r="55" spans="1:9">
      <c r="I55" s="38"/>
    </row>
    <row r="57" spans="1:9">
      <c r="I57" s="32"/>
    </row>
    <row r="58" spans="1:9">
      <c r="I58" s="1078"/>
    </row>
    <row r="59" spans="1:9">
      <c r="I59" s="1078"/>
    </row>
    <row r="60" spans="1:9">
      <c r="I60" s="1078"/>
    </row>
  </sheetData>
  <sheetProtection algorithmName="SHA-512" hashValue="j7us6B1dikfxIoH1+xShrhhdwKJl0SPWUA9R+LDQ/TJOdy+kGn7AFoXyzEaJcA8A82CXFA9pchVTDyICzseyiA==" saltValue="iK2UgA+QKajygBKL8RENRg==" spinCount="100000" sheet="1" objects="1" scenarios="1"/>
  <mergeCells count="54">
    <mergeCell ref="A8:I8"/>
    <mergeCell ref="F16:I16"/>
    <mergeCell ref="F17:I17"/>
    <mergeCell ref="A6:I6"/>
    <mergeCell ref="A16:D16"/>
    <mergeCell ref="A7:I7"/>
    <mergeCell ref="A12:I12"/>
    <mergeCell ref="A13:I13"/>
    <mergeCell ref="A14:I14"/>
    <mergeCell ref="A11:I11"/>
    <mergeCell ref="A10:I10"/>
    <mergeCell ref="M3:U3"/>
    <mergeCell ref="A1:I1"/>
    <mergeCell ref="A4:I4"/>
    <mergeCell ref="A3:I3"/>
    <mergeCell ref="A5:I5"/>
    <mergeCell ref="A2:I2"/>
    <mergeCell ref="I58:I60"/>
    <mergeCell ref="A46:D46"/>
    <mergeCell ref="A32:D32"/>
    <mergeCell ref="A34:D34"/>
    <mergeCell ref="A35:D35"/>
    <mergeCell ref="A36:D36"/>
    <mergeCell ref="A37:D37"/>
    <mergeCell ref="A38:D38"/>
    <mergeCell ref="A39:D39"/>
    <mergeCell ref="A40:D40"/>
    <mergeCell ref="A41:D41"/>
    <mergeCell ref="A45:D45"/>
    <mergeCell ref="H37:I37"/>
    <mergeCell ref="H38:I38"/>
    <mergeCell ref="H44:I44"/>
    <mergeCell ref="B43:D43"/>
    <mergeCell ref="H42:I42"/>
    <mergeCell ref="H43:I43"/>
    <mergeCell ref="B30:D30"/>
    <mergeCell ref="H35:I35"/>
    <mergeCell ref="H36:I36"/>
    <mergeCell ref="H39:I39"/>
    <mergeCell ref="H40:I40"/>
    <mergeCell ref="H41:I41"/>
    <mergeCell ref="A29:D29"/>
    <mergeCell ref="F18:I18"/>
    <mergeCell ref="A9:I9"/>
    <mergeCell ref="F25:I25"/>
    <mergeCell ref="F24:I24"/>
    <mergeCell ref="F19:I21"/>
    <mergeCell ref="F22:I23"/>
    <mergeCell ref="A17:D17"/>
    <mergeCell ref="A18:D20"/>
    <mergeCell ref="E18:E20"/>
    <mergeCell ref="A21:B24"/>
    <mergeCell ref="E21:E24"/>
    <mergeCell ref="A27:I27"/>
  </mergeCells>
  <phoneticPr fontId="6" type="noConversion"/>
  <pageMargins left="0.25590551181102361" right="0.25590551181102361" top="0.36000000000000004" bottom="0.16" header="0.30000000000000004" footer="0.30000000000000004"/>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5" customWidth="1"/>
    <col min="8" max="8" width="14" style="225" customWidth="1"/>
    <col min="9" max="10" width="12.6640625" style="225" customWidth="1"/>
    <col min="11" max="11" width="8.83203125" style="225"/>
    <col min="12" max="12" width="11.33203125" style="225" bestFit="1" customWidth="1"/>
    <col min="13" max="16384" width="8.83203125" style="225"/>
  </cols>
  <sheetData>
    <row r="1" spans="1:14" ht="20">
      <c r="A1" s="1263" t="s">
        <v>19</v>
      </c>
      <c r="B1" s="1264"/>
      <c r="C1" s="1264"/>
      <c r="D1" s="1264"/>
      <c r="E1" s="1264"/>
      <c r="F1" s="1264"/>
      <c r="G1" s="1264"/>
      <c r="H1" s="1264"/>
      <c r="I1" s="1265"/>
    </row>
    <row r="2" spans="1:14" ht="39" customHeight="1">
      <c r="A2" s="1805" t="s">
        <v>190</v>
      </c>
      <c r="B2" s="1806"/>
      <c r="C2" s="1806"/>
      <c r="D2" s="1806"/>
      <c r="E2" s="1806"/>
      <c r="F2" s="1806"/>
      <c r="G2" s="1806"/>
      <c r="H2" s="1806"/>
      <c r="I2" s="1807"/>
    </row>
    <row r="3" spans="1:14" ht="20">
      <c r="A3" s="1276" t="str">
        <f>'Forside 1'!A6:I6</f>
        <v>Gældende fra 1. maj 2022</v>
      </c>
      <c r="B3" s="1277"/>
      <c r="C3" s="1277"/>
      <c r="D3" s="1277"/>
      <c r="E3" s="1277"/>
      <c r="F3" s="1277"/>
      <c r="G3" s="1277"/>
      <c r="H3" s="1277"/>
      <c r="I3" s="1278"/>
    </row>
    <row r="4" spans="1:14" s="328" customFormat="1" ht="34" customHeight="1" thickBot="1">
      <c r="A4" s="1872" t="s">
        <v>331</v>
      </c>
      <c r="B4" s="1873"/>
      <c r="C4" s="1873"/>
      <c r="D4" s="1873"/>
      <c r="E4" s="1873"/>
      <c r="F4" s="1873"/>
      <c r="G4" s="1873"/>
      <c r="H4" s="1873"/>
      <c r="I4" s="1874"/>
    </row>
    <row r="5" spans="1:14" ht="14">
      <c r="A5" s="245"/>
      <c r="B5" s="245"/>
      <c r="C5" s="245"/>
      <c r="D5" s="245"/>
      <c r="E5" s="245"/>
      <c r="F5" s="245"/>
      <c r="G5" s="245"/>
      <c r="H5" s="245"/>
      <c r="I5" s="245"/>
      <c r="J5" s="245"/>
    </row>
    <row r="6" spans="1:14" ht="15" thickBot="1">
      <c r="A6" s="245"/>
      <c r="B6" s="245"/>
      <c r="C6" s="245"/>
      <c r="D6" s="245"/>
      <c r="E6" s="245"/>
      <c r="F6" s="245"/>
      <c r="G6" s="245"/>
      <c r="H6" s="245"/>
      <c r="I6" s="245"/>
      <c r="J6" s="245"/>
    </row>
    <row r="7" spans="1:14" s="255" customFormat="1" ht="19" thickBot="1">
      <c r="A7" s="1679" t="s">
        <v>306</v>
      </c>
      <c r="B7" s="1680"/>
      <c r="C7" s="1680"/>
      <c r="D7" s="1680"/>
      <c r="E7" s="1680"/>
      <c r="F7" s="1681"/>
      <c r="G7" s="1679" t="s">
        <v>168</v>
      </c>
      <c r="H7" s="1680"/>
      <c r="I7" s="1681"/>
      <c r="J7" s="751"/>
    </row>
    <row r="8" spans="1:14" s="255" customFormat="1" ht="15">
      <c r="A8" s="551" t="s">
        <v>57</v>
      </c>
      <c r="B8" s="552" t="s">
        <v>75</v>
      </c>
      <c r="C8" s="552" t="s">
        <v>76</v>
      </c>
      <c r="D8" s="552" t="s">
        <v>77</v>
      </c>
      <c r="E8" s="552" t="s">
        <v>78</v>
      </c>
      <c r="F8" s="552" t="s">
        <v>79</v>
      </c>
      <c r="G8" s="1866" t="s">
        <v>425</v>
      </c>
      <c r="H8" s="1867"/>
      <c r="I8" s="752">
        <v>0.14000000000000001</v>
      </c>
    </row>
    <row r="9" spans="1:14" s="255" customFormat="1" ht="14" customHeight="1">
      <c r="A9" s="294" t="s">
        <v>230</v>
      </c>
      <c r="B9" s="500" t="e">
        <f>'Statens skalatrin'!D46+('3f (DFF, DPS, LS, DSSV)'!#REF!/12)</f>
        <v>#REF!</v>
      </c>
      <c r="C9" s="500" t="e">
        <f>'Statens skalatrin'!F46+('3f (DFF, DPS, LS, DSSV)'!#REF!/12)</f>
        <v>#REF!</v>
      </c>
      <c r="D9" s="500" t="e">
        <f>'Statens skalatrin'!H46+('3f (DFF, DPS, LS, DSSV)'!#REF!/12)</f>
        <v>#REF!</v>
      </c>
      <c r="E9" s="500" t="e">
        <f>'Statens skalatrin'!J46+('3f (DFF, DPS, LS, DSSV)'!#REF!/12)</f>
        <v>#REF!</v>
      </c>
      <c r="F9" s="500" t="e">
        <f>'Statens skalatrin'!L46+('3f (DFF, DPS, LS, DSSV)'!#REF!/12)</f>
        <v>#REF!</v>
      </c>
      <c r="G9" s="1868">
        <f>'Statens skalatrin'!O46</f>
        <v>20112.32</v>
      </c>
      <c r="H9" s="1869"/>
      <c r="I9" s="362">
        <f>G9*$I$8</f>
        <v>2815.7248000000004</v>
      </c>
      <c r="J9" s="258"/>
      <c r="K9" s="254"/>
    </row>
    <row r="10" spans="1:14" s="255" customFormat="1" ht="15" customHeight="1">
      <c r="A10" s="294">
        <v>17</v>
      </c>
      <c r="B10" s="500">
        <f>'Statens skalatrin'!D55</f>
        <v>22588.080000000002</v>
      </c>
      <c r="C10" s="500">
        <f>'Statens skalatrin'!F55</f>
        <v>23070.92</v>
      </c>
      <c r="D10" s="500">
        <f>'Statens skalatrin'!H55</f>
        <v>23405.17</v>
      </c>
      <c r="E10" s="500">
        <f>'Statens skalatrin'!J55</f>
        <v>23887.919999999998</v>
      </c>
      <c r="F10" s="500">
        <f>'Statens skalatrin'!L55</f>
        <v>24222</v>
      </c>
      <c r="G10" s="1868">
        <f>'Statens skalatrin'!O55</f>
        <v>21214.74</v>
      </c>
      <c r="H10" s="1869"/>
      <c r="I10" s="362">
        <f>G10*$I$8</f>
        <v>2970.0636000000004</v>
      </c>
      <c r="J10" s="258"/>
      <c r="K10" s="254"/>
    </row>
    <row r="11" spans="1:14" s="255" customFormat="1" ht="15" customHeight="1" thickBot="1">
      <c r="A11" s="295" t="s">
        <v>169</v>
      </c>
      <c r="B11" s="501" t="e">
        <f>'Statens skalatrin'!D64+('3f (DFF, DPS, LS, DSSV)'!#REF!/12)</f>
        <v>#REF!</v>
      </c>
      <c r="C11" s="501" t="e">
        <f>'Statens skalatrin'!F64+('3f (DFF, DPS, LS, DSSV)'!#REF!/12)</f>
        <v>#REF!</v>
      </c>
      <c r="D11" s="501" t="e">
        <f>'Statens skalatrin'!H64+('3f (DFF, DPS, LS, DSSV)'!#REF!/12)</f>
        <v>#REF!</v>
      </c>
      <c r="E11" s="501" t="e">
        <f>'Statens skalatrin'!J64+('3f (DFF, DPS, LS, DSSV)'!#REF!/12)</f>
        <v>#REF!</v>
      </c>
      <c r="F11" s="501" t="e">
        <f>'Statens skalatrin'!L64+('3f (DFF, DPS, LS, DSSV)'!#REF!/12)</f>
        <v>#REF!</v>
      </c>
      <c r="G11" s="1870">
        <f>'Statens skalatrin'!O64</f>
        <v>22410.799999999999</v>
      </c>
      <c r="H11" s="1871"/>
      <c r="I11" s="363">
        <f>G11*$I$8</f>
        <v>3137.5120000000002</v>
      </c>
      <c r="J11" s="258"/>
      <c r="K11" s="254"/>
      <c r="N11" s="257"/>
    </row>
    <row r="12" spans="1:14" s="255" customFormat="1" ht="14">
      <c r="B12" s="256"/>
      <c r="C12" s="256"/>
      <c r="D12" s="256"/>
      <c r="E12" s="256"/>
      <c r="F12" s="256"/>
    </row>
    <row r="13" spans="1:14" s="255" customFormat="1" ht="15" thickBot="1">
      <c r="B13" s="256"/>
      <c r="C13" s="256"/>
      <c r="D13" s="256"/>
      <c r="E13" s="256"/>
      <c r="F13" s="256"/>
    </row>
    <row r="14" spans="1:14" s="255" customFormat="1" ht="19" thickBot="1">
      <c r="A14" s="1679" t="s">
        <v>307</v>
      </c>
      <c r="B14" s="1680"/>
      <c r="C14" s="1680"/>
      <c r="D14" s="1680"/>
      <c r="E14" s="1680"/>
      <c r="F14" s="1681"/>
    </row>
    <row r="15" spans="1:14" s="255" customFormat="1" ht="15" customHeight="1" thickBot="1">
      <c r="A15" s="1887" t="s">
        <v>171</v>
      </c>
      <c r="B15" s="1888"/>
      <c r="C15" s="1888"/>
      <c r="D15" s="1888"/>
      <c r="E15" s="1888"/>
      <c r="F15" s="1889"/>
    </row>
    <row r="16" spans="1:14" s="255" customFormat="1" ht="16" customHeight="1">
      <c r="A16" s="463" t="s">
        <v>57</v>
      </c>
      <c r="B16" s="464" t="s">
        <v>75</v>
      </c>
      <c r="C16" s="463" t="s">
        <v>76</v>
      </c>
      <c r="D16" s="464" t="s">
        <v>77</v>
      </c>
      <c r="E16" s="463" t="s">
        <v>78</v>
      </c>
      <c r="F16" s="465" t="s">
        <v>79</v>
      </c>
    </row>
    <row r="17" spans="1:12" s="255" customFormat="1" ht="16" customHeight="1" thickBot="1">
      <c r="A17" s="268" t="s">
        <v>230</v>
      </c>
      <c r="B17" s="502" t="e">
        <f>B9*12/1924</f>
        <v>#REF!</v>
      </c>
      <c r="C17" s="503" t="e">
        <f>C9*12/1924</f>
        <v>#REF!</v>
      </c>
      <c r="D17" s="502" t="e">
        <f>D9*12/1924</f>
        <v>#REF!</v>
      </c>
      <c r="E17" s="503" t="e">
        <f>(E9*12)/1924</f>
        <v>#REF!</v>
      </c>
      <c r="F17" s="504" t="e">
        <f>(F9*12)/1924</f>
        <v>#REF!</v>
      </c>
      <c r="H17" s="254"/>
      <c r="I17" s="254"/>
      <c r="J17" s="254"/>
      <c r="K17" s="254"/>
      <c r="L17" s="254"/>
    </row>
    <row r="18" spans="1:12" s="255" customFormat="1" ht="16" customHeight="1">
      <c r="A18" s="264"/>
      <c r="B18" s="263"/>
      <c r="C18" s="263"/>
      <c r="D18" s="263"/>
      <c r="E18" s="263"/>
      <c r="F18" s="263"/>
      <c r="H18" s="254"/>
      <c r="I18" s="254"/>
      <c r="J18" s="254"/>
      <c r="K18" s="254"/>
      <c r="L18" s="254"/>
    </row>
    <row r="19" spans="1:12" s="364" customFormat="1" ht="15" thickBot="1">
      <c r="A19" s="264"/>
      <c r="B19" s="263"/>
      <c r="C19" s="263"/>
      <c r="D19" s="263"/>
      <c r="E19" s="263"/>
      <c r="F19" s="263"/>
    </row>
    <row r="20" spans="1:12" ht="20" customHeight="1">
      <c r="A20" s="1171" t="s">
        <v>172</v>
      </c>
      <c r="B20" s="1172"/>
      <c r="C20" s="1172"/>
      <c r="D20" s="1172"/>
      <c r="E20" s="1172"/>
      <c r="F20" s="1172"/>
      <c r="G20" s="1172"/>
      <c r="H20" s="1172"/>
      <c r="I20" s="1173"/>
      <c r="J20" s="245"/>
    </row>
    <row r="21" spans="1:12" ht="20" customHeight="1" thickBot="1">
      <c r="A21" s="1260" t="s">
        <v>312</v>
      </c>
      <c r="B21" s="1261"/>
      <c r="C21" s="1261"/>
      <c r="D21" s="1261"/>
      <c r="E21" s="1261"/>
      <c r="F21" s="1261"/>
      <c r="G21" s="1261"/>
      <c r="H21" s="1261"/>
      <c r="I21" s="1262"/>
      <c r="J21" s="245"/>
    </row>
    <row r="22" spans="1:12" s="255" customFormat="1" ht="30" customHeight="1" thickBot="1">
      <c r="A22" s="1790"/>
      <c r="B22" s="1791"/>
      <c r="C22" s="1791"/>
      <c r="D22" s="1791"/>
      <c r="E22" s="1791"/>
      <c r="F22" s="1791"/>
      <c r="G22" s="1791"/>
      <c r="H22" s="649" t="s">
        <v>341</v>
      </c>
      <c r="I22" s="644" t="s">
        <v>342</v>
      </c>
    </row>
    <row r="23" spans="1:12" s="255" customFormat="1" ht="15" thickBot="1">
      <c r="A23" s="1849"/>
      <c r="B23" s="1850"/>
      <c r="C23" s="1850"/>
      <c r="D23" s="1850"/>
      <c r="E23" s="1850"/>
      <c r="F23" s="1850"/>
      <c r="G23" s="1851"/>
      <c r="H23" s="578">
        <v>40999</v>
      </c>
      <c r="I23" s="651" t="str">
        <f>'Løntabel gældende fra'!D1</f>
        <v>01/04/2022</v>
      </c>
    </row>
    <row r="24" spans="1:12" s="255" customFormat="1" ht="17" customHeight="1">
      <c r="A24" s="1885" t="s">
        <v>173</v>
      </c>
      <c r="B24" s="1886"/>
      <c r="C24" s="1886"/>
      <c r="D24" s="1886"/>
      <c r="E24" s="1886"/>
      <c r="F24" s="553"/>
      <c r="G24" s="554" t="s">
        <v>165</v>
      </c>
      <c r="H24" s="171">
        <v>22.32</v>
      </c>
      <c r="I24" s="558">
        <f>H24+(H24*'Løntabel gældende fra'!$D$7%)</f>
        <v>25.313201280000001</v>
      </c>
    </row>
    <row r="25" spans="1:12" s="255" customFormat="1" ht="17" customHeight="1">
      <c r="A25" s="1803" t="s">
        <v>174</v>
      </c>
      <c r="B25" s="1804"/>
      <c r="C25" s="1804"/>
      <c r="D25" s="1804"/>
      <c r="E25" s="1804"/>
      <c r="F25" s="559"/>
      <c r="G25" s="253" t="s">
        <v>165</v>
      </c>
      <c r="H25" s="193">
        <v>39.92</v>
      </c>
      <c r="I25" s="558">
        <f>H25+(H25*'Løntabel gældende fra'!$D$7%)</f>
        <v>45.273431680000002</v>
      </c>
    </row>
    <row r="26" spans="1:12" s="255" customFormat="1" ht="17" customHeight="1">
      <c r="A26" s="1795" t="s">
        <v>175</v>
      </c>
      <c r="B26" s="1796"/>
      <c r="C26" s="1796"/>
      <c r="D26" s="1796"/>
      <c r="E26" s="1796"/>
      <c r="F26" s="1796"/>
      <c r="G26" s="253" t="s">
        <v>165</v>
      </c>
      <c r="H26" s="193">
        <v>39.92</v>
      </c>
      <c r="I26" s="558">
        <f>H26+(H26*'Løntabel gældende fra'!$D$7%)</f>
        <v>45.273431680000002</v>
      </c>
    </row>
    <row r="27" spans="1:12" s="255" customFormat="1" ht="17" customHeight="1" thickBot="1">
      <c r="A27" s="284" t="s">
        <v>164</v>
      </c>
      <c r="B27" s="283"/>
      <c r="C27" s="283"/>
      <c r="D27" s="283"/>
      <c r="E27" s="267"/>
      <c r="F27" s="267"/>
      <c r="G27" s="278" t="s">
        <v>165</v>
      </c>
      <c r="H27" s="172">
        <v>39.92</v>
      </c>
      <c r="I27" s="560">
        <f>H27+(H27*'Løntabel gældende fra'!$D$7%)</f>
        <v>45.273431680000002</v>
      </c>
    </row>
    <row r="28" spans="1:12" s="255" customFormat="1" ht="14">
      <c r="A28" s="245"/>
      <c r="B28" s="245"/>
      <c r="C28" s="245"/>
      <c r="D28" s="245"/>
      <c r="E28" s="245"/>
      <c r="F28" s="246"/>
      <c r="G28" s="245"/>
      <c r="H28" s="246"/>
      <c r="I28" s="245"/>
    </row>
    <row r="29" spans="1:12" s="255" customFormat="1" ht="15" thickBot="1">
      <c r="A29" s="245"/>
      <c r="B29" s="245"/>
      <c r="C29" s="245"/>
      <c r="D29" s="245"/>
      <c r="E29" s="245"/>
      <c r="F29" s="246"/>
      <c r="G29" s="245"/>
      <c r="H29" s="246"/>
      <c r="I29" s="245"/>
    </row>
    <row r="30" spans="1:12" s="255" customFormat="1" ht="18">
      <c r="A30" s="1171" t="s">
        <v>176</v>
      </c>
      <c r="B30" s="1172"/>
      <c r="C30" s="1172"/>
      <c r="D30" s="1172"/>
      <c r="E30" s="1172"/>
      <c r="F30" s="1172"/>
      <c r="G30" s="1172"/>
      <c r="H30" s="1172"/>
      <c r="I30" s="1173"/>
    </row>
    <row r="31" spans="1:12" s="255" customFormat="1" ht="17" thickBot="1">
      <c r="A31" s="1260" t="s">
        <v>308</v>
      </c>
      <c r="B31" s="1261"/>
      <c r="C31" s="1261"/>
      <c r="D31" s="1261"/>
      <c r="E31" s="1261"/>
      <c r="F31" s="1261"/>
      <c r="G31" s="1261"/>
      <c r="H31" s="1261"/>
      <c r="I31" s="1262"/>
    </row>
    <row r="32" spans="1:12" s="255" customFormat="1" ht="31" thickBot="1">
      <c r="A32" s="1849"/>
      <c r="B32" s="1850"/>
      <c r="C32" s="1850"/>
      <c r="D32" s="1850"/>
      <c r="E32" s="1850"/>
      <c r="F32" s="1850"/>
      <c r="G32" s="1851"/>
      <c r="H32" s="649" t="s">
        <v>341</v>
      </c>
      <c r="I32" s="644" t="s">
        <v>342</v>
      </c>
    </row>
    <row r="33" spans="1:9" s="255" customFormat="1" ht="15" thickBot="1">
      <c r="A33" s="1882"/>
      <c r="B33" s="1883"/>
      <c r="C33" s="1883"/>
      <c r="D33" s="1883"/>
      <c r="E33" s="1883"/>
      <c r="F33" s="1883"/>
      <c r="G33" s="1884"/>
      <c r="H33" s="578">
        <v>40999</v>
      </c>
      <c r="I33" s="651" t="str">
        <f>'Løntabel gældende fra'!D1</f>
        <v>01/04/2022</v>
      </c>
    </row>
    <row r="34" spans="1:9" s="255" customFormat="1" ht="16" thickBot="1">
      <c r="A34" s="1223" t="s">
        <v>298</v>
      </c>
      <c r="B34" s="1224"/>
      <c r="C34" s="1224"/>
      <c r="D34" s="1224"/>
      <c r="E34" s="1224"/>
      <c r="F34" s="588"/>
      <c r="G34" s="589" t="s">
        <v>165</v>
      </c>
      <c r="H34" s="173">
        <v>6.88</v>
      </c>
      <c r="I34" s="545">
        <f>H34+(H34*'Løntabel gældende fra'!D7%)</f>
        <v>7.8026355199999999</v>
      </c>
    </row>
    <row r="35" spans="1:9" s="255" customFormat="1" ht="14">
      <c r="A35" s="245"/>
      <c r="B35" s="245"/>
      <c r="C35" s="245"/>
      <c r="D35" s="245"/>
      <c r="E35" s="245"/>
      <c r="F35" s="246"/>
      <c r="G35" s="245"/>
      <c r="H35" s="246"/>
      <c r="I35" s="245"/>
    </row>
    <row r="36" spans="1:9" s="255" customFormat="1" ht="15" thickBot="1">
      <c r="A36" s="245"/>
      <c r="B36" s="245"/>
      <c r="C36" s="245"/>
      <c r="D36" s="245"/>
      <c r="E36" s="245"/>
      <c r="F36" s="246"/>
      <c r="G36" s="245"/>
      <c r="H36" s="246"/>
      <c r="I36" s="245"/>
    </row>
    <row r="37" spans="1:9" s="255" customFormat="1" ht="18">
      <c r="A37" s="1171" t="s">
        <v>326</v>
      </c>
      <c r="B37" s="1172"/>
      <c r="C37" s="1172"/>
      <c r="D37" s="1172"/>
      <c r="E37" s="1172"/>
      <c r="F37" s="1172"/>
      <c r="G37" s="1172"/>
      <c r="H37" s="1172"/>
      <c r="I37" s="1173"/>
    </row>
    <row r="38" spans="1:9" s="255" customFormat="1" ht="17" thickBot="1">
      <c r="A38" s="1875" t="s">
        <v>312</v>
      </c>
      <c r="B38" s="1876"/>
      <c r="C38" s="1876"/>
      <c r="D38" s="1876"/>
      <c r="E38" s="1876"/>
      <c r="F38" s="1876"/>
      <c r="G38" s="1876"/>
      <c r="H38" s="1876"/>
      <c r="I38" s="1877"/>
    </row>
    <row r="39" spans="1:9" s="255" customFormat="1" ht="33" customHeight="1">
      <c r="A39" s="1855"/>
      <c r="B39" s="1856"/>
      <c r="C39" s="1856"/>
      <c r="D39" s="1856"/>
      <c r="E39" s="1856"/>
      <c r="F39" s="1856"/>
      <c r="G39" s="1857"/>
      <c r="H39" s="647" t="s">
        <v>131</v>
      </c>
      <c r="I39" s="643" t="s">
        <v>340</v>
      </c>
    </row>
    <row r="40" spans="1:9" s="255" customFormat="1" ht="15" thickBot="1">
      <c r="A40" s="1879"/>
      <c r="B40" s="1880"/>
      <c r="C40" s="1880"/>
      <c r="D40" s="1880"/>
      <c r="E40" s="1880"/>
      <c r="F40" s="1880"/>
      <c r="G40" s="1881"/>
      <c r="H40" s="578">
        <v>40999</v>
      </c>
      <c r="I40" s="651" t="str">
        <f>'Løntabel gældende fra'!D1</f>
        <v>01/04/2022</v>
      </c>
    </row>
    <row r="41" spans="1:9" s="255" customFormat="1" ht="15" thickBot="1">
      <c r="A41" s="1223" t="s">
        <v>299</v>
      </c>
      <c r="B41" s="1224"/>
      <c r="C41" s="1224"/>
      <c r="D41" s="1224"/>
      <c r="E41" s="1224"/>
      <c r="F41" s="588"/>
      <c r="G41" s="589"/>
      <c r="H41" s="173">
        <v>655</v>
      </c>
      <c r="I41" s="545">
        <f>H41+(H41*'Løntabel gældende fra'!D7%)</f>
        <v>742.83812</v>
      </c>
    </row>
    <row r="42" spans="1:9" s="255" customFormat="1" ht="14">
      <c r="A42" s="245"/>
      <c r="B42" s="245"/>
      <c r="C42" s="245"/>
      <c r="D42" s="245"/>
      <c r="E42" s="245"/>
      <c r="F42" s="246"/>
      <c r="G42" s="245"/>
      <c r="H42" s="246"/>
      <c r="I42" s="245"/>
    </row>
    <row r="43" spans="1:9" s="255" customFormat="1" ht="15" thickBot="1">
      <c r="A43" s="245"/>
      <c r="B43" s="245"/>
      <c r="C43" s="245"/>
      <c r="D43" s="245"/>
      <c r="E43" s="245"/>
      <c r="F43" s="246"/>
      <c r="G43" s="245"/>
      <c r="H43" s="246"/>
      <c r="I43" s="245"/>
    </row>
    <row r="44" spans="1:9" s="255" customFormat="1" ht="18">
      <c r="A44" s="1171" t="s">
        <v>325</v>
      </c>
      <c r="B44" s="1172"/>
      <c r="C44" s="1172"/>
      <c r="D44" s="1172"/>
      <c r="E44" s="1172"/>
      <c r="F44" s="1172"/>
      <c r="G44" s="1172"/>
      <c r="H44" s="1172"/>
      <c r="I44" s="1173"/>
    </row>
    <row r="45" spans="1:9" s="255" customFormat="1" ht="17" thickBot="1">
      <c r="A45" s="1875" t="s">
        <v>308</v>
      </c>
      <c r="B45" s="1876"/>
      <c r="C45" s="1876"/>
      <c r="D45" s="1876"/>
      <c r="E45" s="1876"/>
      <c r="F45" s="1876"/>
      <c r="G45" s="1876"/>
      <c r="H45" s="1876"/>
      <c r="I45" s="1877"/>
    </row>
    <row r="46" spans="1:9" s="255" customFormat="1" ht="30">
      <c r="A46" s="1220"/>
      <c r="B46" s="1221"/>
      <c r="C46" s="1221"/>
      <c r="D46" s="1221"/>
      <c r="E46" s="1221"/>
      <c r="F46" s="1221"/>
      <c r="G46" s="1222"/>
      <c r="H46" s="647" t="s">
        <v>131</v>
      </c>
      <c r="I46" s="643" t="s">
        <v>340</v>
      </c>
    </row>
    <row r="47" spans="1:9" s="255" customFormat="1" ht="15" thickBot="1">
      <c r="A47" s="1223"/>
      <c r="B47" s="1224"/>
      <c r="C47" s="1224"/>
      <c r="D47" s="1224"/>
      <c r="E47" s="1224"/>
      <c r="F47" s="1224"/>
      <c r="G47" s="1225"/>
      <c r="H47" s="578">
        <v>40999</v>
      </c>
      <c r="I47" s="651" t="str">
        <f>'Løntabel gældende fra'!D1</f>
        <v>01/04/2022</v>
      </c>
    </row>
    <row r="48" spans="1:9" s="255" customFormat="1" ht="15" thickBot="1">
      <c r="A48" s="1223" t="s">
        <v>184</v>
      </c>
      <c r="B48" s="1224"/>
      <c r="C48" s="1224"/>
      <c r="D48" s="1224"/>
      <c r="E48" s="1224"/>
      <c r="F48" s="588"/>
      <c r="G48" s="589"/>
      <c r="H48" s="173">
        <v>10500</v>
      </c>
      <c r="I48" s="545">
        <f>H48+(H48*'Løntabel gældende fra'!D7%)</f>
        <v>11908.092000000001</v>
      </c>
    </row>
    <row r="49" spans="1:10" s="255" customFormat="1" ht="14"/>
    <row r="50" spans="1:10" s="255" customFormat="1" ht="15" thickBot="1"/>
    <row r="51" spans="1:10" s="255" customFormat="1" ht="18">
      <c r="A51" s="1171" t="s">
        <v>324</v>
      </c>
      <c r="B51" s="1172"/>
      <c r="C51" s="1172"/>
      <c r="D51" s="1172"/>
      <c r="E51" s="1172"/>
      <c r="F51" s="1172"/>
      <c r="G51" s="1172"/>
      <c r="H51" s="1172"/>
      <c r="I51" s="1173"/>
    </row>
    <row r="52" spans="1:10" s="255" customFormat="1" ht="17" thickBot="1">
      <c r="A52" s="1260" t="s">
        <v>308</v>
      </c>
      <c r="B52" s="1261"/>
      <c r="C52" s="1261"/>
      <c r="D52" s="1261"/>
      <c r="E52" s="1261"/>
      <c r="F52" s="1261"/>
      <c r="G52" s="1261"/>
      <c r="H52" s="1261"/>
      <c r="I52" s="1262"/>
    </row>
    <row r="53" spans="1:10" s="255" customFormat="1" ht="14">
      <c r="A53" s="1852" t="s">
        <v>404</v>
      </c>
      <c r="B53" s="1853"/>
      <c r="C53" s="1853"/>
      <c r="D53" s="1853"/>
      <c r="E53" s="1853"/>
      <c r="F53" s="1853"/>
      <c r="G53" s="1854"/>
      <c r="H53" s="584" t="s">
        <v>98</v>
      </c>
      <c r="I53" s="585" t="s">
        <v>103</v>
      </c>
    </row>
    <row r="54" spans="1:10" s="255" customFormat="1" ht="15" thickBot="1">
      <c r="A54" s="1785"/>
      <c r="B54" s="1786"/>
      <c r="C54" s="1786"/>
      <c r="D54" s="1786"/>
      <c r="E54" s="1786"/>
      <c r="F54" s="1786"/>
      <c r="G54" s="1787"/>
      <c r="H54" s="586">
        <v>40999</v>
      </c>
      <c r="I54" s="651" t="str">
        <f>'Løntabel gældende fra'!D1</f>
        <v>01/04/2022</v>
      </c>
    </row>
    <row r="55" spans="1:10" s="255" customFormat="1" ht="15" thickBot="1">
      <c r="A55" s="1788" t="s">
        <v>305</v>
      </c>
      <c r="B55" s="1789"/>
      <c r="C55" s="1789"/>
      <c r="D55" s="1789"/>
      <c r="E55" s="1789"/>
      <c r="F55" s="251"/>
      <c r="G55" s="262"/>
      <c r="H55" s="321">
        <v>0</v>
      </c>
      <c r="I55" s="314">
        <v>0</v>
      </c>
    </row>
    <row r="56" spans="1:10" s="255" customFormat="1" ht="14"/>
    <row r="57" spans="1:10" s="255" customFormat="1" ht="14">
      <c r="A57" s="1878"/>
      <c r="B57" s="1878"/>
      <c r="C57" s="1878"/>
      <c r="D57" s="1878"/>
      <c r="E57" s="1878"/>
      <c r="F57" s="1878"/>
      <c r="G57" s="1878"/>
      <c r="H57" s="1878"/>
      <c r="I57" s="1878"/>
      <c r="J57" s="1878"/>
    </row>
    <row r="58" spans="1:10" s="255" customFormat="1" ht="14">
      <c r="A58" s="546"/>
    </row>
    <row r="59" spans="1:10" s="255" customFormat="1" ht="14"/>
    <row r="60" spans="1:10" s="255" customFormat="1" ht="14"/>
    <row r="61" spans="1:10" s="255" customFormat="1" ht="14"/>
    <row r="62" spans="1:10" s="255" customFormat="1" ht="14"/>
    <row r="72" s="255" customFormat="1" ht="14"/>
    <row r="73" s="255" customFormat="1" ht="14"/>
    <row r="74" s="255" customFormat="1" ht="14"/>
    <row r="75" s="255" customFormat="1" ht="14"/>
    <row r="76" s="255" customFormat="1" ht="14"/>
    <row r="77" s="255" customFormat="1" ht="14"/>
    <row r="78" s="255" customFormat="1" ht="14"/>
    <row r="79" s="255" customFormat="1" ht="14"/>
    <row r="80" s="255" customFormat="1" ht="14"/>
    <row r="81" s="255" customFormat="1" ht="14"/>
    <row r="82" s="255" customFormat="1" ht="14"/>
    <row r="83" s="255" customFormat="1" ht="14"/>
    <row r="84" s="255" customFormat="1" ht="14"/>
    <row r="85" s="255" customFormat="1" ht="14"/>
    <row r="86" s="255" customFormat="1" ht="14"/>
    <row r="87" s="255" customFormat="1" ht="14"/>
    <row r="88" s="255" customFormat="1" ht="14"/>
    <row r="89" s="255" customFormat="1" ht="14"/>
    <row r="90" s="255" customFormat="1" ht="14"/>
    <row r="91" s="255" customFormat="1" ht="14"/>
    <row r="92" s="255" customFormat="1" ht="14"/>
    <row r="93" s="255" customFormat="1" ht="14"/>
    <row r="94" s="255" customFormat="1" ht="14"/>
    <row r="95" s="255" customFormat="1" ht="14"/>
    <row r="96"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255" customFormat="1" ht="14"/>
    <row r="146" s="255" customFormat="1" ht="14"/>
    <row r="147" s="255" customFormat="1" ht="14"/>
    <row r="148" s="255" customFormat="1" ht="14"/>
    <row r="149" s="255" customFormat="1" ht="14"/>
    <row r="150" s="255" customFormat="1" ht="14"/>
    <row r="151" s="255" customFormat="1" ht="14"/>
    <row r="152" s="255" customFormat="1" ht="14"/>
    <row r="153" s="255" customFormat="1" ht="14"/>
  </sheetData>
  <sheetProtection sheet="1" objects="1" scenarios="1"/>
  <mergeCells count="35">
    <mergeCell ref="A31:I31"/>
    <mergeCell ref="A38:I38"/>
    <mergeCell ref="A14:F14"/>
    <mergeCell ref="A24:E24"/>
    <mergeCell ref="A22:G23"/>
    <mergeCell ref="A25:E25"/>
    <mergeCell ref="A15:F15"/>
    <mergeCell ref="A20:I20"/>
    <mergeCell ref="A21:I21"/>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G8:H8"/>
    <mergeCell ref="G9:H9"/>
    <mergeCell ref="G10:H10"/>
    <mergeCell ref="G11:H11"/>
    <mergeCell ref="A1:I1"/>
    <mergeCell ref="A2:I2"/>
    <mergeCell ref="A3:I3"/>
    <mergeCell ref="A4:I4"/>
    <mergeCell ref="A7:F7"/>
    <mergeCell ref="G7:I7"/>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3"/>
  <sheetViews>
    <sheetView view="pageBreakPreview" topLeftCell="A41" workbookViewId="0">
      <selection activeCell="A48" sqref="A48:J53"/>
    </sheetView>
  </sheetViews>
  <sheetFormatPr baseColWidth="10" defaultColWidth="8.83203125" defaultRowHeight="13"/>
  <cols>
    <col min="1" max="2" width="11.6640625" style="225" customWidth="1"/>
    <col min="3" max="4" width="13.83203125" style="225" customWidth="1"/>
    <col min="5" max="5" width="13.83203125" style="226" customWidth="1"/>
    <col min="6" max="6" width="13.83203125" style="225" customWidth="1"/>
    <col min="7" max="8" width="13.83203125" style="227" customWidth="1"/>
    <col min="9" max="10" width="13.83203125" style="225" customWidth="1"/>
    <col min="11" max="11" width="11.6640625" style="225" customWidth="1"/>
    <col min="12" max="16384" width="8.83203125" style="225"/>
  </cols>
  <sheetData>
    <row r="1" spans="1:10" s="2" customFormat="1" ht="22" customHeight="1">
      <c r="A1" s="1263" t="s">
        <v>19</v>
      </c>
      <c r="B1" s="1264"/>
      <c r="C1" s="1264"/>
      <c r="D1" s="1264"/>
      <c r="E1" s="1264"/>
      <c r="F1" s="1264"/>
      <c r="G1" s="1264"/>
      <c r="H1" s="1264"/>
      <c r="I1" s="1264"/>
      <c r="J1" s="1265"/>
    </row>
    <row r="2" spans="1:10" s="2" customFormat="1" ht="22" customHeight="1">
      <c r="A2" s="1276" t="s">
        <v>448</v>
      </c>
      <c r="B2" s="1277"/>
      <c r="C2" s="1277"/>
      <c r="D2" s="1277"/>
      <c r="E2" s="1277"/>
      <c r="F2" s="1277"/>
      <c r="G2" s="1277"/>
      <c r="H2" s="1277"/>
      <c r="I2" s="1277"/>
      <c r="J2" s="1278"/>
    </row>
    <row r="3" spans="1:10" s="590" customFormat="1" ht="25" customHeight="1">
      <c r="A3" s="1276" t="str">
        <f>'Forside 1'!A6:I6</f>
        <v>Gældende fra 1. maj 2022</v>
      </c>
      <c r="B3" s="1277"/>
      <c r="C3" s="1277"/>
      <c r="D3" s="1277"/>
      <c r="E3" s="1277"/>
      <c r="F3" s="1277"/>
      <c r="G3" s="1277"/>
      <c r="H3" s="1277"/>
      <c r="I3" s="1277"/>
      <c r="J3" s="1278"/>
    </row>
    <row r="4" spans="1:10" s="630" customFormat="1" ht="25" customHeight="1">
      <c r="A4" s="1930" t="s">
        <v>492</v>
      </c>
      <c r="B4" s="1931"/>
      <c r="C4" s="1931"/>
      <c r="D4" s="1931"/>
      <c r="E4" s="1931"/>
      <c r="F4" s="1931"/>
      <c r="G4" s="1931"/>
      <c r="H4" s="1931"/>
      <c r="I4" s="1931"/>
      <c r="J4" s="1932"/>
    </row>
    <row r="5" spans="1:10" s="2" customFormat="1" ht="19" customHeight="1" thickBot="1">
      <c r="A5" s="1927" t="s">
        <v>493</v>
      </c>
      <c r="B5" s="1928"/>
      <c r="C5" s="1928"/>
      <c r="D5" s="1928"/>
      <c r="E5" s="1928"/>
      <c r="F5" s="1928"/>
      <c r="G5" s="1928"/>
      <c r="H5" s="1928"/>
      <c r="I5" s="1928"/>
      <c r="J5" s="1929"/>
    </row>
    <row r="6" spans="1:10" ht="21" thickBot="1">
      <c r="A6" s="1818"/>
      <c r="B6" s="1818"/>
      <c r="C6" s="1818"/>
      <c r="D6" s="1818"/>
      <c r="E6" s="1818"/>
      <c r="F6" s="1818"/>
      <c r="G6" s="1818"/>
      <c r="H6" s="1818"/>
    </row>
    <row r="7" spans="1:10" ht="18">
      <c r="A7" s="1808" t="s">
        <v>449</v>
      </c>
      <c r="B7" s="1809"/>
      <c r="C7" s="1809"/>
      <c r="D7" s="1809"/>
      <c r="E7" s="1809"/>
      <c r="F7" s="1809"/>
      <c r="G7" s="1809"/>
      <c r="H7" s="1809"/>
      <c r="I7" s="1809"/>
      <c r="J7" s="1810"/>
    </row>
    <row r="8" spans="1:10" ht="17" thickBot="1">
      <c r="A8" s="1904" t="s">
        <v>450</v>
      </c>
      <c r="B8" s="1905"/>
      <c r="C8" s="1905"/>
      <c r="D8" s="1905"/>
      <c r="E8" s="1905"/>
      <c r="F8" s="1905"/>
      <c r="G8" s="1905"/>
      <c r="H8" s="1905"/>
      <c r="I8" s="1905"/>
      <c r="J8" s="1906"/>
    </row>
    <row r="9" spans="1:10" ht="16" customHeight="1" thickBot="1">
      <c r="A9" s="1907" t="s">
        <v>461</v>
      </c>
      <c r="B9" s="1908"/>
      <c r="C9" s="1908"/>
      <c r="D9" s="1908"/>
      <c r="E9" s="1908"/>
      <c r="F9" s="1909"/>
      <c r="G9" s="1907" t="s">
        <v>168</v>
      </c>
      <c r="H9" s="1908"/>
      <c r="I9" s="1908"/>
      <c r="J9" s="1909"/>
    </row>
    <row r="10" spans="1:10" ht="30" customHeight="1" thickBot="1">
      <c r="A10" s="833" t="s">
        <v>57</v>
      </c>
      <c r="B10" s="834" t="s">
        <v>75</v>
      </c>
      <c r="C10" s="835" t="s">
        <v>76</v>
      </c>
      <c r="D10" s="835" t="s">
        <v>77</v>
      </c>
      <c r="E10" s="835" t="s">
        <v>78</v>
      </c>
      <c r="F10" s="836" t="s">
        <v>79</v>
      </c>
      <c r="G10" s="833" t="s">
        <v>185</v>
      </c>
      <c r="H10" s="853" t="s">
        <v>187</v>
      </c>
      <c r="I10" s="848" t="s">
        <v>188</v>
      </c>
      <c r="J10" s="962">
        <v>0.16</v>
      </c>
    </row>
    <row r="11" spans="1:10" ht="16" customHeight="1">
      <c r="A11" s="385">
        <v>9</v>
      </c>
      <c r="B11" s="830">
        <f>'Statens skalatrin'!D31</f>
        <v>19830.669999999998</v>
      </c>
      <c r="C11" s="831">
        <f>'Statens skalatrin'!F31</f>
        <v>20226.25</v>
      </c>
      <c r="D11" s="831">
        <f>'Statens skalatrin'!H31</f>
        <v>20500.419999999998</v>
      </c>
      <c r="E11" s="831">
        <f>'Statens skalatrin'!J31</f>
        <v>20896.080000000002</v>
      </c>
      <c r="F11" s="832">
        <f>'Statens skalatrin'!L31</f>
        <v>21170.17</v>
      </c>
      <c r="G11" s="960">
        <f>'Statens skalatrin'!O31</f>
        <v>18462.77</v>
      </c>
      <c r="H11" s="963">
        <f>J11*1/3</f>
        <v>984.68</v>
      </c>
      <c r="I11" s="964">
        <f>J11*2/3</f>
        <v>1969.36</v>
      </c>
      <c r="J11" s="965">
        <f>ROUND(G11*$J$10,2)</f>
        <v>2954.04</v>
      </c>
    </row>
    <row r="12" spans="1:10" ht="16" customHeight="1">
      <c r="A12" s="829">
        <v>10</v>
      </c>
      <c r="B12" s="827">
        <f>'Statens skalatrin'!D34</f>
        <v>20163.669999999998</v>
      </c>
      <c r="C12" s="812">
        <f>'Statens skalatrin'!F34</f>
        <v>20569.419999999998</v>
      </c>
      <c r="D12" s="812">
        <f>'Statens skalatrin'!H34</f>
        <v>20850.25</v>
      </c>
      <c r="E12" s="812">
        <f>'Statens skalatrin'!J34</f>
        <v>21255.83</v>
      </c>
      <c r="F12" s="817">
        <f>'Statens skalatrin'!L34</f>
        <v>21536.83</v>
      </c>
      <c r="G12" s="784">
        <f>'Statens skalatrin'!O34</f>
        <v>18775.04</v>
      </c>
      <c r="H12" s="966">
        <f t="shared" ref="H12:H16" si="0">J12*1/3</f>
        <v>1001.3366666666667</v>
      </c>
      <c r="I12" s="811">
        <f t="shared" ref="I12:I16" si="1">J12*2/3</f>
        <v>2002.6733333333334</v>
      </c>
      <c r="J12" s="837">
        <f t="shared" ref="J12:J16" si="2">ROUND(G12*$J$10,2)</f>
        <v>3004.01</v>
      </c>
    </row>
    <row r="13" spans="1:10" ht="16" customHeight="1">
      <c r="A13" s="829">
        <v>11</v>
      </c>
      <c r="B13" s="827">
        <f>'Statens skalatrin'!D37</f>
        <v>20426.5</v>
      </c>
      <c r="C13" s="812">
        <f>'Statens skalatrin'!F37</f>
        <v>20842.25</v>
      </c>
      <c r="D13" s="812">
        <f>'Statens skalatrin'!H37</f>
        <v>21130.17</v>
      </c>
      <c r="E13" s="812">
        <f>'Statens skalatrin'!J37</f>
        <v>21545.919999999998</v>
      </c>
      <c r="F13" s="817">
        <f>'Statens skalatrin'!L37</f>
        <v>21833.67</v>
      </c>
      <c r="G13" s="784">
        <f>'Statens skalatrin'!O37</f>
        <v>19095.849999999999</v>
      </c>
      <c r="H13" s="966">
        <f t="shared" si="0"/>
        <v>1018.4466666666667</v>
      </c>
      <c r="I13" s="811">
        <f t="shared" si="1"/>
        <v>2036.8933333333334</v>
      </c>
      <c r="J13" s="837">
        <f t="shared" si="2"/>
        <v>3055.34</v>
      </c>
    </row>
    <row r="14" spans="1:10" ht="16" customHeight="1">
      <c r="A14" s="829">
        <v>12</v>
      </c>
      <c r="B14" s="827">
        <f>'Statens skalatrin'!D40</f>
        <v>20778.169999999998</v>
      </c>
      <c r="C14" s="812">
        <f>'Statens skalatrin'!F40</f>
        <v>21204.42</v>
      </c>
      <c r="D14" s="812">
        <f>'Statens skalatrin'!H40</f>
        <v>21499.67</v>
      </c>
      <c r="E14" s="812">
        <f>'Statens skalatrin'!J40</f>
        <v>21925.75</v>
      </c>
      <c r="F14" s="817">
        <f>'Statens skalatrin'!L40</f>
        <v>22220.75</v>
      </c>
      <c r="G14" s="784">
        <f>'Statens skalatrin'!O40</f>
        <v>19425.52</v>
      </c>
      <c r="H14" s="966">
        <f t="shared" si="0"/>
        <v>1036.0266666666666</v>
      </c>
      <c r="I14" s="811">
        <f t="shared" si="1"/>
        <v>2072.0533333333333</v>
      </c>
      <c r="J14" s="837">
        <f t="shared" si="2"/>
        <v>3108.08</v>
      </c>
    </row>
    <row r="15" spans="1:10" ht="16" customHeight="1">
      <c r="A15" s="829">
        <v>13</v>
      </c>
      <c r="B15" s="827">
        <f>'Statens skalatrin'!D43</f>
        <v>21139.83</v>
      </c>
      <c r="C15" s="812">
        <f>'Statens skalatrin'!F43</f>
        <v>21576.67</v>
      </c>
      <c r="D15" s="812">
        <f>'Statens skalatrin'!H43</f>
        <v>21879.17</v>
      </c>
      <c r="E15" s="812">
        <f>'Statens skalatrin'!J43</f>
        <v>22316.25</v>
      </c>
      <c r="F15" s="817">
        <f>'Statens skalatrin'!L43</f>
        <v>22618.58</v>
      </c>
      <c r="G15" s="784">
        <f>'Statens skalatrin'!O43</f>
        <v>19764.23</v>
      </c>
      <c r="H15" s="966">
        <f t="shared" si="0"/>
        <v>1054.0933333333335</v>
      </c>
      <c r="I15" s="811">
        <f t="shared" si="1"/>
        <v>2108.186666666667</v>
      </c>
      <c r="J15" s="837">
        <f t="shared" si="2"/>
        <v>3162.28</v>
      </c>
    </row>
    <row r="16" spans="1:10" ht="16" customHeight="1" thickBot="1">
      <c r="A16" s="313">
        <v>14</v>
      </c>
      <c r="B16" s="828">
        <f>'Statens skalatrin'!D46</f>
        <v>21511.25</v>
      </c>
      <c r="C16" s="820">
        <f>'Statens skalatrin'!F46</f>
        <v>21959.17</v>
      </c>
      <c r="D16" s="820">
        <f>'Statens skalatrin'!H46</f>
        <v>22269.25</v>
      </c>
      <c r="E16" s="820">
        <f>'Statens skalatrin'!J46</f>
        <v>22717.17</v>
      </c>
      <c r="F16" s="821">
        <f>'Statens skalatrin'!L46</f>
        <v>23027.25</v>
      </c>
      <c r="G16" s="961">
        <f>'Statens skalatrin'!O46</f>
        <v>20112.32</v>
      </c>
      <c r="H16" s="967">
        <f t="shared" si="0"/>
        <v>1072.6566666666665</v>
      </c>
      <c r="I16" s="822">
        <f t="shared" si="1"/>
        <v>2145.313333333333</v>
      </c>
      <c r="J16" s="968">
        <f t="shared" si="2"/>
        <v>3217.97</v>
      </c>
    </row>
    <row r="17" spans="1:11" ht="15" customHeight="1" thickBot="1">
      <c r="A17" s="899"/>
      <c r="B17" s="876"/>
      <c r="C17" s="823"/>
      <c r="D17" s="823"/>
      <c r="E17" s="823"/>
      <c r="F17" s="823"/>
      <c r="G17" s="840"/>
      <c r="H17" s="824"/>
      <c r="I17" s="824"/>
      <c r="J17" s="824"/>
      <c r="K17" s="824"/>
    </row>
    <row r="18" spans="1:11" ht="20" customHeight="1">
      <c r="A18" s="1808" t="s">
        <v>451</v>
      </c>
      <c r="B18" s="1809"/>
      <c r="C18" s="1809"/>
      <c r="D18" s="1809"/>
      <c r="E18" s="1809"/>
      <c r="F18" s="1809"/>
      <c r="G18" s="1809"/>
      <c r="H18" s="1809"/>
      <c r="I18" s="1809"/>
      <c r="J18" s="1810"/>
    </row>
    <row r="19" spans="1:11" ht="20" customHeight="1" thickBot="1">
      <c r="A19" s="1904" t="s">
        <v>450</v>
      </c>
      <c r="B19" s="1905"/>
      <c r="C19" s="1905"/>
      <c r="D19" s="1905"/>
      <c r="E19" s="1905"/>
      <c r="F19" s="1905"/>
      <c r="G19" s="1905"/>
      <c r="H19" s="1905"/>
      <c r="I19" s="1905"/>
      <c r="J19" s="1906"/>
    </row>
    <row r="20" spans="1:11" ht="20" customHeight="1" thickBot="1">
      <c r="A20" s="1907" t="s">
        <v>461</v>
      </c>
      <c r="B20" s="1908"/>
      <c r="C20" s="1908"/>
      <c r="D20" s="1908"/>
      <c r="E20" s="1908"/>
      <c r="F20" s="1909"/>
      <c r="G20" s="1907" t="s">
        <v>168</v>
      </c>
      <c r="H20" s="1910"/>
      <c r="I20" s="1910"/>
      <c r="J20" s="1911"/>
    </row>
    <row r="21" spans="1:11" ht="30" customHeight="1" thickBot="1">
      <c r="A21" s="833" t="s">
        <v>57</v>
      </c>
      <c r="B21" s="853" t="s">
        <v>75</v>
      </c>
      <c r="C21" s="848" t="s">
        <v>76</v>
      </c>
      <c r="D21" s="848" t="s">
        <v>77</v>
      </c>
      <c r="E21" s="848" t="s">
        <v>78</v>
      </c>
      <c r="F21" s="849" t="s">
        <v>79</v>
      </c>
      <c r="G21" s="472" t="s">
        <v>185</v>
      </c>
      <c r="H21" s="838" t="s">
        <v>187</v>
      </c>
      <c r="I21" s="835" t="s">
        <v>188</v>
      </c>
      <c r="J21" s="839">
        <f>J10</f>
        <v>0.16</v>
      </c>
    </row>
    <row r="22" spans="1:11" ht="16" customHeight="1">
      <c r="A22" s="841">
        <v>16</v>
      </c>
      <c r="B22" s="850">
        <f>'Statens skalatrin'!D52</f>
        <v>22185.25</v>
      </c>
      <c r="C22" s="851">
        <f>'Statens skalatrin'!F52</f>
        <v>22656.080000000002</v>
      </c>
      <c r="D22" s="851">
        <f>'Statens skalatrin'!H52</f>
        <v>22982.17</v>
      </c>
      <c r="E22" s="851">
        <f>'Statens skalatrin'!J52</f>
        <v>23452.92</v>
      </c>
      <c r="F22" s="852">
        <f>'Statens skalatrin'!L52</f>
        <v>23778.92</v>
      </c>
      <c r="G22" s="845">
        <f>'Statens skalatrin'!O52</f>
        <v>20837.32</v>
      </c>
      <c r="H22" s="963">
        <f>J22*1/3</f>
        <v>1111.3233333333333</v>
      </c>
      <c r="I22" s="964">
        <f>J22*2/3</f>
        <v>2222.6466666666665</v>
      </c>
      <c r="J22" s="965">
        <f>ROUND(G22*$J$10,2)</f>
        <v>3333.97</v>
      </c>
    </row>
    <row r="23" spans="1:11" ht="16" customHeight="1">
      <c r="A23" s="815">
        <v>18</v>
      </c>
      <c r="B23" s="816">
        <f>'Statens skalatrin'!D58</f>
        <v>23002.17</v>
      </c>
      <c r="C23" s="812">
        <f>'Statens skalatrin'!F58</f>
        <v>23497.33</v>
      </c>
      <c r="D23" s="812">
        <f>'Statens skalatrin'!H58</f>
        <v>23840</v>
      </c>
      <c r="E23" s="812">
        <f>'Statens skalatrin'!J58</f>
        <v>24335</v>
      </c>
      <c r="F23" s="817">
        <f>'Statens skalatrin'!L58</f>
        <v>24677.67</v>
      </c>
      <c r="G23" s="846">
        <f>'Statens skalatrin'!O58</f>
        <v>21602.74</v>
      </c>
      <c r="H23" s="966">
        <f t="shared" ref="H23:H27" si="3">J23*1/3</f>
        <v>1152.1466666666668</v>
      </c>
      <c r="I23" s="811">
        <f t="shared" ref="I23:I27" si="4">J23*2/3</f>
        <v>2304.2933333333335</v>
      </c>
      <c r="J23" s="837">
        <f t="shared" ref="J23:J27" si="5">ROUND(G23*$J$10,2)</f>
        <v>3456.44</v>
      </c>
    </row>
    <row r="24" spans="1:11" s="592" customFormat="1" ht="16" customHeight="1">
      <c r="A24" s="815">
        <v>20</v>
      </c>
      <c r="B24" s="816">
        <f>'Statens skalatrin'!D64</f>
        <v>23632.17</v>
      </c>
      <c r="C24" s="812">
        <f>'Statens skalatrin'!F64</f>
        <v>24152.67</v>
      </c>
      <c r="D24" s="812">
        <f>'Statens skalatrin'!H64</f>
        <v>24513.08</v>
      </c>
      <c r="E24" s="812">
        <f>'Statens skalatrin'!J64</f>
        <v>25033.67</v>
      </c>
      <c r="F24" s="817">
        <f>'Statens skalatrin'!L64</f>
        <v>25393.919999999998</v>
      </c>
      <c r="G24" s="846">
        <f>'Statens skalatrin'!O64</f>
        <v>22410.799999999999</v>
      </c>
      <c r="H24" s="966">
        <f t="shared" si="3"/>
        <v>1195.2433333333333</v>
      </c>
      <c r="I24" s="811">
        <f t="shared" si="4"/>
        <v>2390.4866666666667</v>
      </c>
      <c r="J24" s="837">
        <f t="shared" si="5"/>
        <v>3585.73</v>
      </c>
    </row>
    <row r="25" spans="1:11" s="592" customFormat="1" ht="16" customHeight="1">
      <c r="A25" s="815">
        <v>22</v>
      </c>
      <c r="B25" s="816">
        <f>'Statens skalatrin'!D70</f>
        <v>24385.75</v>
      </c>
      <c r="C25" s="812">
        <f>'Statens skalatrin'!F70</f>
        <v>24919.67</v>
      </c>
      <c r="D25" s="812">
        <f>'Statens skalatrin'!H70</f>
        <v>25289.25</v>
      </c>
      <c r="E25" s="812">
        <f>'Statens skalatrin'!J70</f>
        <v>25823.17</v>
      </c>
      <c r="F25" s="817">
        <f>'Statens skalatrin'!L70</f>
        <v>26192.83</v>
      </c>
      <c r="G25" s="846">
        <f>'Statens skalatrin'!O70</f>
        <v>23252.28</v>
      </c>
      <c r="H25" s="966">
        <f t="shared" si="3"/>
        <v>1240.1200000000001</v>
      </c>
      <c r="I25" s="811">
        <f t="shared" si="4"/>
        <v>2480.2400000000002</v>
      </c>
      <c r="J25" s="837">
        <f t="shared" si="5"/>
        <v>3720.36</v>
      </c>
    </row>
    <row r="26" spans="1:11" ht="16" customHeight="1">
      <c r="A26" s="815">
        <v>24</v>
      </c>
      <c r="B26" s="816">
        <f>'Statens skalatrin'!D76</f>
        <v>25174.5</v>
      </c>
      <c r="C26" s="812">
        <f>'Statens skalatrin'!F76</f>
        <v>25678.92</v>
      </c>
      <c r="D26" s="812">
        <f>'Statens skalatrin'!H76</f>
        <v>26028.25</v>
      </c>
      <c r="E26" s="812">
        <f>'Statens skalatrin'!J76</f>
        <v>26532.83</v>
      </c>
      <c r="F26" s="817">
        <f>'Statens skalatrin'!L76</f>
        <v>26882.17</v>
      </c>
      <c r="G26" s="846">
        <f>'Statens skalatrin'!O76</f>
        <v>24103.3</v>
      </c>
      <c r="H26" s="966">
        <f t="shared" si="3"/>
        <v>1285.51</v>
      </c>
      <c r="I26" s="811">
        <f t="shared" si="4"/>
        <v>2571.02</v>
      </c>
      <c r="J26" s="837">
        <f t="shared" si="5"/>
        <v>3856.53</v>
      </c>
    </row>
    <row r="27" spans="1:11" ht="16" customHeight="1" thickBot="1">
      <c r="A27" s="825">
        <v>26</v>
      </c>
      <c r="B27" s="819">
        <f>'Statens skalatrin'!D82</f>
        <v>26002.25</v>
      </c>
      <c r="C27" s="820">
        <f>'Statens skalatrin'!F82</f>
        <v>26474.080000000002</v>
      </c>
      <c r="D27" s="820">
        <f>'Statens skalatrin'!H82</f>
        <v>26800.75</v>
      </c>
      <c r="E27" s="820">
        <f>'Statens skalatrin'!J82</f>
        <v>27272.67</v>
      </c>
      <c r="F27" s="821">
        <f>'Statens skalatrin'!L82</f>
        <v>27599.25</v>
      </c>
      <c r="G27" s="847">
        <f>'Statens skalatrin'!O82</f>
        <v>25000.240000000002</v>
      </c>
      <c r="H27" s="967">
        <f t="shared" si="3"/>
        <v>1333.3466666666666</v>
      </c>
      <c r="I27" s="822">
        <f t="shared" si="4"/>
        <v>2666.6933333333332</v>
      </c>
      <c r="J27" s="968">
        <f t="shared" si="5"/>
        <v>4000.04</v>
      </c>
    </row>
    <row r="28" spans="1:11" ht="20" customHeight="1" thickBot="1">
      <c r="A28" s="900"/>
      <c r="B28" s="877"/>
      <c r="C28" s="823"/>
      <c r="D28" s="823"/>
      <c r="E28" s="823"/>
      <c r="F28" s="823"/>
      <c r="G28" s="823"/>
      <c r="H28" s="823"/>
      <c r="I28" s="824"/>
      <c r="J28" s="824"/>
      <c r="K28" s="826"/>
    </row>
    <row r="29" spans="1:11" ht="20" customHeight="1">
      <c r="A29" s="1808" t="s">
        <v>452</v>
      </c>
      <c r="B29" s="1809"/>
      <c r="C29" s="1809"/>
      <c r="D29" s="1809"/>
      <c r="E29" s="1809"/>
      <c r="F29" s="1809"/>
      <c r="G29" s="1809"/>
      <c r="H29" s="1809"/>
      <c r="I29" s="1809"/>
      <c r="J29" s="1810"/>
    </row>
    <row r="30" spans="1:11" ht="20" customHeight="1" thickBot="1">
      <c r="A30" s="1904" t="s">
        <v>450</v>
      </c>
      <c r="B30" s="1905"/>
      <c r="C30" s="1905"/>
      <c r="D30" s="1905"/>
      <c r="E30" s="1905"/>
      <c r="F30" s="1905"/>
      <c r="G30" s="1905"/>
      <c r="H30" s="1905"/>
      <c r="I30" s="1905"/>
      <c r="J30" s="1906"/>
    </row>
    <row r="31" spans="1:11" s="426" customFormat="1" ht="20" customHeight="1" thickBot="1">
      <c r="A31" s="1907" t="s">
        <v>461</v>
      </c>
      <c r="B31" s="1908"/>
      <c r="C31" s="1908"/>
      <c r="D31" s="1908"/>
      <c r="E31" s="1908"/>
      <c r="F31" s="1909"/>
      <c r="G31" s="1907" t="s">
        <v>168</v>
      </c>
      <c r="H31" s="1908"/>
      <c r="I31" s="1908"/>
      <c r="J31" s="1909"/>
    </row>
    <row r="32" spans="1:11" ht="30" customHeight="1" thickBot="1">
      <c r="A32" s="472" t="s">
        <v>57</v>
      </c>
      <c r="B32" s="838" t="s">
        <v>75</v>
      </c>
      <c r="C32" s="835" t="s">
        <v>76</v>
      </c>
      <c r="D32" s="835" t="s">
        <v>77</v>
      </c>
      <c r="E32" s="835" t="s">
        <v>78</v>
      </c>
      <c r="F32" s="843" t="s">
        <v>79</v>
      </c>
      <c r="G32" s="833" t="s">
        <v>185</v>
      </c>
      <c r="H32" s="856" t="s">
        <v>187</v>
      </c>
      <c r="I32" s="833" t="s">
        <v>188</v>
      </c>
      <c r="J32" s="857">
        <f>J10</f>
        <v>0.16</v>
      </c>
    </row>
    <row r="33" spans="1:11" ht="16" customHeight="1">
      <c r="A33" s="829">
        <v>27</v>
      </c>
      <c r="B33" s="830">
        <f>'Statens skalatrin'!D85</f>
        <v>26429.919999999998</v>
      </c>
      <c r="C33" s="831">
        <f>'Statens skalatrin'!F85</f>
        <v>26883.58</v>
      </c>
      <c r="D33" s="831">
        <f>'Statens skalatrin'!H85</f>
        <v>27197.919999999998</v>
      </c>
      <c r="E33" s="831">
        <f>'Statens skalatrin'!J85</f>
        <v>27651.67</v>
      </c>
      <c r="F33" s="844">
        <f>'Statens skalatrin'!L85</f>
        <v>27965.83</v>
      </c>
      <c r="G33" s="855">
        <f>'Statens skalatrin'!O85</f>
        <v>25466.3</v>
      </c>
      <c r="H33" s="963">
        <f>J33*1/3</f>
        <v>1358.2033333333334</v>
      </c>
      <c r="I33" s="964">
        <f>J33*2/3</f>
        <v>2716.4066666666668</v>
      </c>
      <c r="J33" s="965">
        <f>ROUND(G33*$J$10,2)</f>
        <v>4074.61</v>
      </c>
    </row>
    <row r="34" spans="1:11" ht="16" customHeight="1">
      <c r="A34" s="829">
        <v>29</v>
      </c>
      <c r="B34" s="827">
        <f>'Statens skalatrin'!D91</f>
        <v>27314.33</v>
      </c>
      <c r="C34" s="812">
        <f>'Statens skalatrin'!F91</f>
        <v>27728.25</v>
      </c>
      <c r="D34" s="812">
        <f>'Statens skalatrin'!H91</f>
        <v>28014.92</v>
      </c>
      <c r="E34" s="812">
        <f>'Statens skalatrin'!J91</f>
        <v>28428.83</v>
      </c>
      <c r="F34" s="854">
        <f>'Statens skalatrin'!L91</f>
        <v>28715.42</v>
      </c>
      <c r="G34" s="653">
        <f>'Statens skalatrin'!O91</f>
        <v>26435.49</v>
      </c>
      <c r="H34" s="966">
        <f t="shared" ref="H34:H36" si="6">J34*1/3</f>
        <v>1409.8933333333334</v>
      </c>
      <c r="I34" s="811">
        <f t="shared" ref="I34:I36" si="7">J34*2/3</f>
        <v>2819.7866666666669</v>
      </c>
      <c r="J34" s="837">
        <f t="shared" ref="J34:J36" si="8">ROUND(G34*$J$10,2)</f>
        <v>4229.68</v>
      </c>
    </row>
    <row r="35" spans="1:11" ht="16" customHeight="1">
      <c r="A35" s="829">
        <v>31</v>
      </c>
      <c r="B35" s="827">
        <f>'Statens skalatrin'!D97</f>
        <v>28238.75</v>
      </c>
      <c r="C35" s="812">
        <f>'Statens skalatrin'!F97</f>
        <v>28607.42</v>
      </c>
      <c r="D35" s="812">
        <f>'Statens skalatrin'!H97</f>
        <v>28862.75</v>
      </c>
      <c r="E35" s="812">
        <f>'Statens skalatrin'!J97</f>
        <v>29231.42</v>
      </c>
      <c r="F35" s="854">
        <f>'Statens skalatrin'!L97</f>
        <v>29486.67</v>
      </c>
      <c r="G35" s="653">
        <f>'Statens skalatrin'!O97</f>
        <v>27455.96</v>
      </c>
      <c r="H35" s="966">
        <f t="shared" si="6"/>
        <v>1464.3166666666666</v>
      </c>
      <c r="I35" s="811">
        <f t="shared" si="7"/>
        <v>2928.6333333333332</v>
      </c>
      <c r="J35" s="837">
        <f t="shared" si="8"/>
        <v>4392.95</v>
      </c>
    </row>
    <row r="36" spans="1:11" s="592" customFormat="1" ht="16" customHeight="1" thickBot="1">
      <c r="A36" s="313">
        <v>33</v>
      </c>
      <c r="B36" s="858">
        <f>'Statens skalatrin'!D103</f>
        <v>29204.67</v>
      </c>
      <c r="C36" s="813">
        <f>'Statens skalatrin'!F103</f>
        <v>29522.17</v>
      </c>
      <c r="D36" s="813">
        <f>'Statens skalatrin'!H103</f>
        <v>29742.17</v>
      </c>
      <c r="E36" s="813">
        <f>'Statens skalatrin'!J103</f>
        <v>30059.75</v>
      </c>
      <c r="F36" s="859">
        <f>'Statens skalatrin'!L103</f>
        <v>30279.67</v>
      </c>
      <c r="G36" s="654">
        <f>'Statens skalatrin'!O103</f>
        <v>28530.45</v>
      </c>
      <c r="H36" s="969">
        <f t="shared" si="6"/>
        <v>1521.6233333333332</v>
      </c>
      <c r="I36" s="814">
        <f t="shared" si="7"/>
        <v>3043.2466666666664</v>
      </c>
      <c r="J36" s="968">
        <f t="shared" si="8"/>
        <v>4564.87</v>
      </c>
    </row>
    <row r="37" spans="1:11" s="860" customFormat="1" ht="20" customHeight="1" thickBot="1">
      <c r="A37" s="900"/>
      <c r="B37" s="877"/>
      <c r="C37" s="823"/>
      <c r="D37" s="823"/>
      <c r="E37" s="823"/>
      <c r="F37" s="823"/>
      <c r="G37" s="823"/>
      <c r="H37" s="823"/>
      <c r="I37" s="824"/>
      <c r="J37" s="824"/>
      <c r="K37" s="826"/>
    </row>
    <row r="38" spans="1:11" s="592" customFormat="1" ht="20" customHeight="1">
      <c r="A38" s="1808" t="s">
        <v>453</v>
      </c>
      <c r="B38" s="1809"/>
      <c r="C38" s="1809"/>
      <c r="D38" s="1809"/>
      <c r="E38" s="1809"/>
      <c r="F38" s="1809"/>
      <c r="G38" s="1809"/>
      <c r="H38" s="1809"/>
      <c r="I38" s="1809"/>
      <c r="J38" s="1810"/>
    </row>
    <row r="39" spans="1:11" ht="20" customHeight="1" thickBot="1">
      <c r="A39" s="1904" t="s">
        <v>450</v>
      </c>
      <c r="B39" s="1905"/>
      <c r="C39" s="1905"/>
      <c r="D39" s="1905"/>
      <c r="E39" s="1905"/>
      <c r="F39" s="1905"/>
      <c r="G39" s="1905"/>
      <c r="H39" s="1905"/>
      <c r="I39" s="1905"/>
      <c r="J39" s="1906"/>
    </row>
    <row r="40" spans="1:11" ht="20" customHeight="1" thickBot="1">
      <c r="A40" s="1907" t="s">
        <v>461</v>
      </c>
      <c r="B40" s="1908"/>
      <c r="C40" s="1908"/>
      <c r="D40" s="1908"/>
      <c r="E40" s="1908"/>
      <c r="F40" s="1909"/>
      <c r="G40" s="1907" t="s">
        <v>168</v>
      </c>
      <c r="H40" s="1908"/>
      <c r="I40" s="1908"/>
      <c r="J40" s="1909"/>
    </row>
    <row r="41" spans="1:11" ht="30" customHeight="1" thickBot="1">
      <c r="A41" s="472" t="s">
        <v>57</v>
      </c>
      <c r="B41" s="838" t="s">
        <v>75</v>
      </c>
      <c r="C41" s="835" t="s">
        <v>76</v>
      </c>
      <c r="D41" s="835" t="s">
        <v>77</v>
      </c>
      <c r="E41" s="835" t="s">
        <v>78</v>
      </c>
      <c r="F41" s="836" t="s">
        <v>79</v>
      </c>
      <c r="G41" s="856" t="s">
        <v>185</v>
      </c>
      <c r="H41" s="856" t="s">
        <v>187</v>
      </c>
      <c r="I41" s="833" t="s">
        <v>188</v>
      </c>
      <c r="J41" s="857">
        <f>J10</f>
        <v>0.16</v>
      </c>
    </row>
    <row r="42" spans="1:11" s="255" customFormat="1" ht="16" customHeight="1">
      <c r="A42" s="829">
        <v>34</v>
      </c>
      <c r="B42" s="842">
        <f>'Statens skalatrin'!D106</f>
        <v>29703.919999999998</v>
      </c>
      <c r="C42" s="830">
        <f>'Statens skalatrin'!F106</f>
        <v>29993.58</v>
      </c>
      <c r="D42" s="830">
        <f>'Statens skalatrin'!H106</f>
        <v>30194.080000000002</v>
      </c>
      <c r="E42" s="830">
        <f>'Statens skalatrin'!J106</f>
        <v>30483.58</v>
      </c>
      <c r="F42" s="863">
        <f>'Statens skalatrin'!L106</f>
        <v>30684.17</v>
      </c>
      <c r="G42" s="867">
        <f>'Statens skalatrin'!O106</f>
        <v>29088.880000000001</v>
      </c>
      <c r="H42" s="963">
        <f>J42*1/3</f>
        <v>1551.4066666666668</v>
      </c>
      <c r="I42" s="964">
        <f>J42*2/3</f>
        <v>3102.8133333333335</v>
      </c>
      <c r="J42" s="965">
        <f>ROUND(G42*$J$10,2)</f>
        <v>4654.22</v>
      </c>
    </row>
    <row r="43" spans="1:11" s="255" customFormat="1" ht="16" customHeight="1">
      <c r="A43" s="829">
        <v>36</v>
      </c>
      <c r="B43" s="816">
        <f>'Statens skalatrin'!D112</f>
        <v>30735.5</v>
      </c>
      <c r="C43" s="827">
        <f>'Statens skalatrin'!F112</f>
        <v>30964.25</v>
      </c>
      <c r="D43" s="827">
        <f>'Statens skalatrin'!H112</f>
        <v>31122.67</v>
      </c>
      <c r="E43" s="827">
        <f>'Statens skalatrin'!J112</f>
        <v>31351.42</v>
      </c>
      <c r="F43" s="846">
        <f>'Statens skalatrin'!L112</f>
        <v>31509.75</v>
      </c>
      <c r="G43" s="653">
        <f>'Statens skalatrin'!O112</f>
        <v>30249.83</v>
      </c>
      <c r="H43" s="966">
        <f t="shared" ref="H43:H46" si="9">J43*1/3</f>
        <v>1613.3233333333335</v>
      </c>
      <c r="I43" s="811">
        <f t="shared" ref="I43:I46" si="10">J43*2/3</f>
        <v>3226.646666666667</v>
      </c>
      <c r="J43" s="837">
        <f t="shared" ref="J43:J46" si="11">ROUND(G43*$J$10,2)</f>
        <v>4839.97</v>
      </c>
    </row>
    <row r="44" spans="1:11" s="255" customFormat="1" ht="16" customHeight="1">
      <c r="A44" s="829">
        <v>40</v>
      </c>
      <c r="B44" s="816">
        <f>'Statens skalatrin'!D124</f>
        <v>32980.33</v>
      </c>
      <c r="C44" s="827">
        <f>'Statens skalatrin'!F124</f>
        <v>33066.5</v>
      </c>
      <c r="D44" s="827">
        <f>'Statens skalatrin'!H124</f>
        <v>33126.25</v>
      </c>
      <c r="E44" s="827">
        <f>'Statens skalatrin'!J124</f>
        <v>33212.42</v>
      </c>
      <c r="F44" s="846">
        <f>'Statens skalatrin'!L124</f>
        <v>33272.17</v>
      </c>
      <c r="G44" s="653">
        <f>'Statens skalatrin'!O124</f>
        <v>32797.1</v>
      </c>
      <c r="H44" s="966">
        <f t="shared" si="9"/>
        <v>1749.18</v>
      </c>
      <c r="I44" s="811">
        <f t="shared" si="10"/>
        <v>3498.36</v>
      </c>
      <c r="J44" s="837">
        <f t="shared" si="11"/>
        <v>5247.54</v>
      </c>
    </row>
    <row r="45" spans="1:11" s="255" customFormat="1" ht="16" customHeight="1">
      <c r="A45" s="861">
        <v>42</v>
      </c>
      <c r="B45" s="864">
        <f>'Statens skalatrin'!D130</f>
        <v>34180</v>
      </c>
      <c r="C45" s="862">
        <f>'Statens skalatrin'!F130</f>
        <v>34180</v>
      </c>
      <c r="D45" s="862">
        <f>'Statens skalatrin'!H130</f>
        <v>34180</v>
      </c>
      <c r="E45" s="862">
        <f>'Statens skalatrin'!J130</f>
        <v>34180</v>
      </c>
      <c r="F45" s="865">
        <f>'Statens skalatrin'!L130</f>
        <v>34180</v>
      </c>
      <c r="G45" s="810">
        <f>'Statens skalatrin'!O130</f>
        <v>34179.93</v>
      </c>
      <c r="H45" s="966">
        <f t="shared" si="9"/>
        <v>1822.93</v>
      </c>
      <c r="I45" s="811">
        <f t="shared" si="10"/>
        <v>3645.86</v>
      </c>
      <c r="J45" s="837">
        <f t="shared" si="11"/>
        <v>5468.79</v>
      </c>
    </row>
    <row r="46" spans="1:11" s="238" customFormat="1" ht="16" customHeight="1" thickBot="1">
      <c r="A46" s="313">
        <v>43</v>
      </c>
      <c r="B46" s="818">
        <f>'Statens skalatrin'!D133</f>
        <v>34938.83</v>
      </c>
      <c r="C46" s="858">
        <f>'Statens skalatrin'!F133</f>
        <v>34938.83</v>
      </c>
      <c r="D46" s="858">
        <f>'Statens skalatrin'!H133</f>
        <v>34938.83</v>
      </c>
      <c r="E46" s="858">
        <f>'Statens skalatrin'!J133</f>
        <v>34938.83</v>
      </c>
      <c r="F46" s="866">
        <f>'Statens skalatrin'!L133</f>
        <v>34938.83</v>
      </c>
      <c r="G46" s="654">
        <f>'Statens skalatrin'!O133</f>
        <v>34938.769999999997</v>
      </c>
      <c r="H46" s="969">
        <f t="shared" si="9"/>
        <v>1863.3999999999999</v>
      </c>
      <c r="I46" s="814">
        <f t="shared" si="10"/>
        <v>3726.7999999999997</v>
      </c>
      <c r="J46" s="968">
        <f t="shared" si="11"/>
        <v>5590.2</v>
      </c>
    </row>
    <row r="47" spans="1:11" s="272" customFormat="1" ht="20" customHeight="1" thickBot="1">
      <c r="A47" s="900"/>
      <c r="B47" s="877"/>
      <c r="C47" s="823"/>
      <c r="D47" s="823"/>
      <c r="E47" s="823"/>
      <c r="F47" s="823"/>
      <c r="G47" s="840"/>
      <c r="H47" s="823"/>
      <c r="I47" s="824"/>
      <c r="J47" s="824"/>
      <c r="K47" s="824"/>
    </row>
    <row r="48" spans="1:11" s="238" customFormat="1" ht="20" customHeight="1">
      <c r="A48" s="1151" t="s">
        <v>192</v>
      </c>
      <c r="B48" s="1289"/>
      <c r="C48" s="1289"/>
      <c r="D48" s="1289"/>
      <c r="E48" s="1289"/>
      <c r="F48" s="1289"/>
      <c r="G48" s="1289"/>
      <c r="H48" s="1289"/>
      <c r="I48" s="1289"/>
      <c r="J48" s="1290"/>
    </row>
    <row r="49" spans="1:14" s="238" customFormat="1" ht="17" customHeight="1" thickBot="1">
      <c r="A49" s="1912" t="s">
        <v>312</v>
      </c>
      <c r="B49" s="1913"/>
      <c r="C49" s="1913"/>
      <c r="D49" s="1913"/>
      <c r="E49" s="1913"/>
      <c r="F49" s="1913"/>
      <c r="G49" s="1913"/>
      <c r="H49" s="1913"/>
      <c r="I49" s="1913"/>
      <c r="J49" s="1914"/>
    </row>
    <row r="50" spans="1:14" s="238" customFormat="1" ht="16">
      <c r="A50" s="868"/>
      <c r="B50" s="869"/>
      <c r="C50" s="869"/>
      <c r="D50" s="869"/>
      <c r="E50" s="869"/>
      <c r="F50" s="872"/>
      <c r="G50" s="1921" t="s">
        <v>341</v>
      </c>
      <c r="H50" s="1922"/>
      <c r="I50" s="1921" t="s">
        <v>342</v>
      </c>
      <c r="J50" s="1922"/>
      <c r="K50" s="225"/>
      <c r="L50" s="225"/>
      <c r="M50" s="225"/>
    </row>
    <row r="51" spans="1:14" s="238" customFormat="1" ht="17" thickBot="1">
      <c r="A51" s="870"/>
      <c r="B51" s="871"/>
      <c r="C51" s="871"/>
      <c r="D51" s="871"/>
      <c r="E51" s="871"/>
      <c r="F51" s="808"/>
      <c r="G51" s="1923">
        <v>40999</v>
      </c>
      <c r="H51" s="1924"/>
      <c r="I51" s="1923" t="str">
        <f>'Løntabel gældende fra'!$D$1</f>
        <v>01/04/2022</v>
      </c>
      <c r="J51" s="1924"/>
      <c r="K51" s="225"/>
      <c r="L51" s="225"/>
      <c r="M51" s="225"/>
    </row>
    <row r="52" spans="1:14" s="238" customFormat="1" ht="16" customHeight="1" thickBot="1">
      <c r="A52" s="1915" t="s">
        <v>464</v>
      </c>
      <c r="B52" s="1916"/>
      <c r="C52" s="1916"/>
      <c r="D52" s="1916"/>
      <c r="E52" s="1916"/>
      <c r="F52" s="1917"/>
      <c r="G52" s="1925">
        <v>136.5</v>
      </c>
      <c r="H52" s="1926"/>
      <c r="I52" s="1840">
        <f>ROUND(+G52*(1+'Løntabel gældende fra'!$D$7/100),2)</f>
        <v>154.81</v>
      </c>
      <c r="J52" s="1839"/>
      <c r="K52" s="225"/>
      <c r="L52" s="225"/>
      <c r="M52" s="225"/>
    </row>
    <row r="53" spans="1:14" s="238" customFormat="1" ht="16" customHeight="1" thickBot="1">
      <c r="A53" s="1918" t="s">
        <v>454</v>
      </c>
      <c r="B53" s="1919"/>
      <c r="C53" s="1919"/>
      <c r="D53" s="1919"/>
      <c r="E53" s="1919"/>
      <c r="F53" s="1920"/>
      <c r="G53" s="1840">
        <v>186.5</v>
      </c>
      <c r="H53" s="1839"/>
      <c r="I53" s="1840">
        <f>ROUND(+G53*(1+'Løntabel gældende fra'!$D$7/100),2)</f>
        <v>211.51</v>
      </c>
      <c r="J53" s="1839"/>
      <c r="K53" s="225"/>
      <c r="L53" s="225"/>
      <c r="M53" s="225"/>
    </row>
    <row r="54" spans="1:14" s="238" customFormat="1" ht="20" customHeight="1" thickBot="1">
      <c r="A54" s="873"/>
      <c r="B54" s="809"/>
      <c r="C54" s="809"/>
      <c r="D54" s="809"/>
      <c r="E54" s="809"/>
      <c r="F54" s="809"/>
      <c r="G54" s="873"/>
      <c r="H54" s="61"/>
      <c r="I54" s="61"/>
      <c r="J54" s="61"/>
      <c r="K54" s="61"/>
      <c r="L54" s="225"/>
      <c r="M54" s="225"/>
      <c r="N54" s="225"/>
    </row>
    <row r="55" spans="1:14" s="238" customFormat="1" ht="20" customHeight="1">
      <c r="A55" s="1151" t="s">
        <v>227</v>
      </c>
      <c r="B55" s="1289"/>
      <c r="C55" s="1289"/>
      <c r="D55" s="1289"/>
      <c r="E55" s="1289"/>
      <c r="F55" s="1289"/>
      <c r="G55" s="1289"/>
      <c r="H55" s="1289"/>
      <c r="I55" s="1289"/>
      <c r="J55" s="1290"/>
    </row>
    <row r="56" spans="1:14" s="238" customFormat="1" ht="21" customHeight="1" thickBot="1">
      <c r="A56" s="1912" t="s">
        <v>394</v>
      </c>
      <c r="B56" s="1913"/>
      <c r="C56" s="1913"/>
      <c r="D56" s="1913"/>
      <c r="E56" s="1913"/>
      <c r="F56" s="1913"/>
      <c r="G56" s="1913"/>
      <c r="H56" s="1913"/>
      <c r="I56" s="1913"/>
      <c r="J56" s="1914"/>
    </row>
    <row r="57" spans="1:14" ht="16">
      <c r="A57" s="868"/>
      <c r="B57" s="869"/>
      <c r="C57" s="869"/>
      <c r="D57" s="869"/>
      <c r="E57" s="869"/>
      <c r="F57" s="872"/>
      <c r="G57" s="1921" t="s">
        <v>458</v>
      </c>
      <c r="H57" s="1922"/>
      <c r="I57" s="1921" t="s">
        <v>456</v>
      </c>
      <c r="J57" s="1922"/>
    </row>
    <row r="58" spans="1:14" ht="17" thickBot="1">
      <c r="A58" s="870"/>
      <c r="B58" s="871"/>
      <c r="C58" s="871"/>
      <c r="D58" s="871"/>
      <c r="E58" s="871"/>
      <c r="F58" s="808"/>
      <c r="G58" s="1923">
        <v>40999</v>
      </c>
      <c r="H58" s="1924"/>
      <c r="I58" s="1923" t="str">
        <f>'Løntabel gældende fra'!$D$1</f>
        <v>01/04/2022</v>
      </c>
      <c r="J58" s="1924"/>
    </row>
    <row r="59" spans="1:14" ht="16" customHeight="1" thickBot="1">
      <c r="A59" s="880" t="s">
        <v>455</v>
      </c>
      <c r="B59" s="881"/>
      <c r="C59" s="881"/>
      <c r="D59" s="881"/>
      <c r="E59" s="881"/>
      <c r="F59" s="882"/>
      <c r="G59" s="1925">
        <v>300</v>
      </c>
      <c r="H59" s="1926"/>
      <c r="I59" s="1840">
        <f>ROUND(+G59*(1+'Løntabel gældende fra'!$D$7/100),2)</f>
        <v>340.23</v>
      </c>
      <c r="J59" s="1839"/>
    </row>
    <row r="60" spans="1:14" ht="20" customHeight="1" thickBot="1">
      <c r="A60" s="1892"/>
      <c r="B60" s="1892"/>
      <c r="C60" s="1892"/>
      <c r="D60" s="1892"/>
      <c r="E60" s="1892"/>
      <c r="F60" s="1892"/>
      <c r="G60" s="1892"/>
      <c r="H60" s="1892"/>
      <c r="I60" s="509"/>
      <c r="J60" s="10"/>
      <c r="K60" s="10"/>
    </row>
    <row r="61" spans="1:14" ht="20" customHeight="1" thickBot="1">
      <c r="A61" s="1184" t="s">
        <v>457</v>
      </c>
      <c r="B61" s="1185"/>
      <c r="C61" s="1185"/>
      <c r="D61" s="1185"/>
      <c r="E61" s="1185"/>
      <c r="F61" s="1185"/>
      <c r="G61" s="1185"/>
      <c r="H61" s="1243"/>
      <c r="I61" s="509"/>
      <c r="J61" s="10"/>
      <c r="K61" s="10"/>
    </row>
    <row r="62" spans="1:14" ht="20" customHeight="1" thickBot="1">
      <c r="A62" s="890"/>
      <c r="B62" s="891"/>
      <c r="C62" s="1899" t="s">
        <v>501</v>
      </c>
      <c r="D62" s="1685"/>
      <c r="E62" s="1692"/>
      <c r="F62" s="1899" t="s">
        <v>502</v>
      </c>
      <c r="G62" s="1685"/>
      <c r="H62" s="1692"/>
      <c r="I62" s="509"/>
      <c r="J62" s="10"/>
      <c r="K62" s="10"/>
    </row>
    <row r="63" spans="1:14" ht="20" customHeight="1">
      <c r="A63" s="874"/>
      <c r="B63" s="875"/>
      <c r="C63" s="1897" t="s">
        <v>131</v>
      </c>
      <c r="D63" s="1897" t="s">
        <v>131</v>
      </c>
      <c r="E63" s="1897" t="s">
        <v>278</v>
      </c>
      <c r="F63" s="1897" t="s">
        <v>131</v>
      </c>
      <c r="G63" s="1897" t="s">
        <v>131</v>
      </c>
      <c r="H63" s="1897" t="s">
        <v>278</v>
      </c>
      <c r="I63" s="878"/>
      <c r="J63" s="879"/>
      <c r="K63" s="879"/>
    </row>
    <row r="64" spans="1:14" ht="20" customHeight="1">
      <c r="A64" s="874"/>
      <c r="B64" s="875"/>
      <c r="C64" s="1898"/>
      <c r="D64" s="1898"/>
      <c r="E64" s="1898"/>
      <c r="F64" s="1898"/>
      <c r="G64" s="1898"/>
      <c r="H64" s="1898"/>
      <c r="I64" s="878"/>
      <c r="J64" s="879"/>
      <c r="K64" s="879"/>
    </row>
    <row r="65" spans="1:11" ht="20" customHeight="1" thickBot="1">
      <c r="A65" s="883"/>
      <c r="B65" s="892"/>
      <c r="C65" s="884">
        <f>G58</f>
        <v>40999</v>
      </c>
      <c r="D65" s="884" t="str">
        <f>I58</f>
        <v>01/04/2022</v>
      </c>
      <c r="E65" s="884" t="str">
        <f>I58</f>
        <v>01/04/2022</v>
      </c>
      <c r="F65" s="884">
        <f>C65</f>
        <v>40999</v>
      </c>
      <c r="G65" s="884" t="str">
        <f t="shared" ref="G65:H65" si="12">D65</f>
        <v>01/04/2022</v>
      </c>
      <c r="H65" s="884" t="str">
        <f t="shared" si="12"/>
        <v>01/04/2022</v>
      </c>
      <c r="I65" s="878"/>
      <c r="J65" s="879"/>
      <c r="K65" s="879"/>
    </row>
    <row r="66" spans="1:11" ht="16" customHeight="1" thickBot="1">
      <c r="A66" s="1890" t="s">
        <v>460</v>
      </c>
      <c r="B66" s="1891"/>
      <c r="C66" s="896"/>
      <c r="D66" s="896"/>
      <c r="E66" s="896"/>
      <c r="F66" s="896"/>
      <c r="G66" s="896"/>
      <c r="H66" s="896"/>
      <c r="I66" s="878"/>
      <c r="J66" s="879"/>
      <c r="K66" s="879"/>
    </row>
    <row r="67" spans="1:11" ht="16" customHeight="1">
      <c r="A67" s="1900" t="s">
        <v>386</v>
      </c>
      <c r="B67" s="1901"/>
      <c r="C67" s="886">
        <v>103542</v>
      </c>
      <c r="D67" s="887">
        <f>ROUND(C67+(C67*'Løntabel gældende fra'!$D$7%),2)</f>
        <v>117427.4</v>
      </c>
      <c r="E67" s="887">
        <f>ROUND(D67/12,2)</f>
        <v>9785.6200000000008</v>
      </c>
      <c r="F67" s="887">
        <v>106163</v>
      </c>
      <c r="G67" s="887">
        <f>ROUND(F67+(F67*'Løntabel gældende fra'!$D$7%),2)</f>
        <v>120399.88</v>
      </c>
      <c r="H67" s="886">
        <f>ROUND(G67/12,2)</f>
        <v>10033.32</v>
      </c>
      <c r="I67" s="509"/>
      <c r="J67" s="10"/>
      <c r="K67" s="10"/>
    </row>
    <row r="68" spans="1:11" ht="16" customHeight="1">
      <c r="A68" s="1893" t="s">
        <v>385</v>
      </c>
      <c r="B68" s="1894"/>
      <c r="C68" s="888">
        <v>110751</v>
      </c>
      <c r="D68" s="887">
        <f>ROUND(C68+(C68*'Løntabel gældende fra'!$D$7%),2)</f>
        <v>125603.15</v>
      </c>
      <c r="E68" s="887">
        <f t="shared" ref="E68:E70" si="13">ROUND(D68/12,2)</f>
        <v>10466.93</v>
      </c>
      <c r="F68" s="888">
        <v>114027</v>
      </c>
      <c r="G68" s="887">
        <f>ROUND(F68+(F68*'Løntabel gældende fra'!$D$7%),2)</f>
        <v>129318.48</v>
      </c>
      <c r="H68" s="886">
        <f t="shared" ref="H68:H70" si="14">ROUND(G68/12,2)</f>
        <v>10776.54</v>
      </c>
      <c r="I68" s="509"/>
      <c r="J68" s="10"/>
      <c r="K68" s="10"/>
    </row>
    <row r="69" spans="1:11" ht="16" customHeight="1">
      <c r="A69" s="1893" t="s">
        <v>384</v>
      </c>
      <c r="B69" s="1894"/>
      <c r="C69" s="888">
        <v>117959</v>
      </c>
      <c r="D69" s="887">
        <f>ROUND(C69+(C69*'Løntabel gældende fra'!$D$7%),2)</f>
        <v>133777.76999999999</v>
      </c>
      <c r="E69" s="887">
        <f t="shared" si="13"/>
        <v>11148.15</v>
      </c>
      <c r="F69" s="888">
        <v>121236</v>
      </c>
      <c r="G69" s="887">
        <f>ROUND(F69+(F69*'Løntabel gældende fra'!$D$7%),2)</f>
        <v>137494.23000000001</v>
      </c>
      <c r="H69" s="886">
        <f t="shared" si="14"/>
        <v>11457.85</v>
      </c>
      <c r="I69" s="509"/>
      <c r="J69" s="10"/>
      <c r="K69" s="10"/>
    </row>
    <row r="70" spans="1:11" ht="16" customHeight="1" thickBot="1">
      <c r="A70" s="1895" t="s">
        <v>383</v>
      </c>
      <c r="B70" s="1896"/>
      <c r="C70" s="889">
        <v>126479</v>
      </c>
      <c r="D70" s="887">
        <f>ROUND(C70+(C70*'Løntabel gældende fra'!$D$7%),2)</f>
        <v>143440.34</v>
      </c>
      <c r="E70" s="887">
        <f t="shared" si="13"/>
        <v>11953.36</v>
      </c>
      <c r="F70" s="889">
        <v>130411</v>
      </c>
      <c r="G70" s="887">
        <f>ROUND(F70+(F70*'Løntabel gældende fra'!$D$7%),2)</f>
        <v>147899.64000000001</v>
      </c>
      <c r="H70" s="886">
        <f t="shared" si="14"/>
        <v>12324.97</v>
      </c>
      <c r="I70" s="509"/>
      <c r="J70" s="10"/>
      <c r="K70" s="10"/>
    </row>
    <row r="71" spans="1:11" ht="16" customHeight="1" thickBot="1">
      <c r="A71" s="1890" t="s">
        <v>459</v>
      </c>
      <c r="B71" s="1891"/>
      <c r="C71" s="893"/>
      <c r="D71" s="893"/>
      <c r="E71" s="893"/>
      <c r="F71" s="894"/>
      <c r="G71" s="893"/>
      <c r="H71" s="895"/>
      <c r="I71" s="509"/>
      <c r="J71" s="10"/>
      <c r="K71" s="10"/>
    </row>
    <row r="72" spans="1:11" ht="16" customHeight="1">
      <c r="A72" s="1900" t="s">
        <v>386</v>
      </c>
      <c r="B72" s="1901"/>
      <c r="C72" s="886">
        <v>130411</v>
      </c>
      <c r="D72" s="887">
        <f>ROUND(C72+(C72*'Løntabel gældende fra'!$D$7%),2)</f>
        <v>147899.64000000001</v>
      </c>
      <c r="E72" s="887">
        <f>ROUND(D72/12,2)</f>
        <v>12324.97</v>
      </c>
      <c r="F72" s="887">
        <v>133687</v>
      </c>
      <c r="G72" s="887">
        <f>ROUND(F72+(F72*'Løntabel gældende fra'!$D$7%),2)</f>
        <v>151614.96</v>
      </c>
      <c r="H72" s="886">
        <f>ROUND(G72/12,2)</f>
        <v>12634.58</v>
      </c>
      <c r="I72" s="509"/>
      <c r="J72" s="10"/>
      <c r="K72" s="10"/>
    </row>
    <row r="73" spans="1:11" ht="16" customHeight="1">
      <c r="A73" s="1893" t="s">
        <v>385</v>
      </c>
      <c r="B73" s="1894"/>
      <c r="C73" s="888">
        <v>137619</v>
      </c>
      <c r="D73" s="887">
        <f>ROUND(C73+(C73*'Løntabel gældende fra'!$D$7%),2)</f>
        <v>156074.26</v>
      </c>
      <c r="E73" s="887">
        <f t="shared" ref="E73:E75" si="15">ROUND(D73/12,2)</f>
        <v>13006.19</v>
      </c>
      <c r="F73" s="888">
        <v>140896</v>
      </c>
      <c r="G73" s="887">
        <f>ROUND(F73+(F73*'Løntabel gældende fra'!$D$7%),2)</f>
        <v>159790.72</v>
      </c>
      <c r="H73" s="886">
        <f t="shared" ref="H73:H75" si="16">ROUND(G73/12,2)</f>
        <v>13315.89</v>
      </c>
      <c r="I73" s="509"/>
      <c r="J73" s="10"/>
      <c r="K73" s="10"/>
    </row>
    <row r="74" spans="1:11" ht="16" customHeight="1">
      <c r="A74" s="1893" t="s">
        <v>384</v>
      </c>
      <c r="B74" s="1894"/>
      <c r="C74" s="888">
        <v>147777</v>
      </c>
      <c r="D74" s="887">
        <f>ROUND(C74+(C74*'Løntabel gældende fra'!$D$7%),2)</f>
        <v>167594.49</v>
      </c>
      <c r="E74" s="887">
        <f t="shared" si="15"/>
        <v>13966.21</v>
      </c>
      <c r="F74" s="888">
        <v>152037</v>
      </c>
      <c r="G74" s="887">
        <f>ROUND(F74+(F74*'Løntabel gældende fra'!$D$7%),2)</f>
        <v>172425.77</v>
      </c>
      <c r="H74" s="886">
        <f t="shared" si="16"/>
        <v>14368.81</v>
      </c>
      <c r="I74" s="509"/>
      <c r="J74" s="10"/>
      <c r="K74" s="10"/>
    </row>
    <row r="75" spans="1:11" s="426" customFormat="1" ht="16" customHeight="1" thickBot="1">
      <c r="A75" s="1895" t="s">
        <v>383</v>
      </c>
      <c r="B75" s="1896"/>
      <c r="C75" s="889">
        <v>155641</v>
      </c>
      <c r="D75" s="887">
        <f>ROUND(C75+(C75*'Løntabel gældende fra'!$D$7%),2)</f>
        <v>176513.08</v>
      </c>
      <c r="E75" s="887">
        <f t="shared" si="15"/>
        <v>14709.42</v>
      </c>
      <c r="F75" s="889">
        <v>160556</v>
      </c>
      <c r="G75" s="887">
        <f>ROUND(F75+(F75*'Løntabel gældende fra'!$D$7%),2)</f>
        <v>182087.2</v>
      </c>
      <c r="H75" s="886">
        <f t="shared" si="16"/>
        <v>15173.93</v>
      </c>
      <c r="I75" s="509"/>
      <c r="J75" s="61"/>
      <c r="K75" s="61"/>
    </row>
    <row r="76" spans="1:11" ht="16" customHeight="1" thickBot="1">
      <c r="A76" s="897" t="s">
        <v>462</v>
      </c>
      <c r="B76" s="897"/>
      <c r="C76" s="893"/>
      <c r="D76" s="893"/>
      <c r="E76" s="893"/>
      <c r="F76" s="894"/>
      <c r="G76" s="893"/>
      <c r="H76" s="895"/>
      <c r="I76" s="509"/>
      <c r="J76" s="10"/>
      <c r="K76" s="10"/>
    </row>
    <row r="77" spans="1:11" ht="16" customHeight="1" thickBot="1">
      <c r="A77" s="1902" t="s">
        <v>463</v>
      </c>
      <c r="B77" s="1903"/>
      <c r="C77" s="885">
        <v>220533</v>
      </c>
      <c r="D77" s="885">
        <f>ROUND(C77+(C77*'Løntabel gældende fra'!$D$7%),2)</f>
        <v>250107.36</v>
      </c>
      <c r="E77" s="885">
        <f>ROUND(D77/12,2)</f>
        <v>20842.28</v>
      </c>
      <c r="F77" s="885">
        <v>222812</v>
      </c>
      <c r="G77" s="885">
        <f>ROUND(F77+(F77*'Løntabel gældende fra'!$D$7%),2)</f>
        <v>252691.98</v>
      </c>
      <c r="H77" s="898">
        <f>ROUND(G77/12,2)</f>
        <v>21057.67</v>
      </c>
      <c r="I77" s="509"/>
      <c r="J77" s="10"/>
      <c r="K77" s="10"/>
    </row>
    <row r="78" spans="1:11">
      <c r="A78" s="241"/>
      <c r="B78" s="241"/>
      <c r="C78" s="241"/>
      <c r="D78" s="242"/>
      <c r="E78" s="239"/>
      <c r="F78" s="238"/>
      <c r="G78" s="240"/>
      <c r="H78" s="240"/>
    </row>
    <row r="79" spans="1:11">
      <c r="A79" s="238"/>
      <c r="B79" s="238"/>
      <c r="C79" s="238"/>
      <c r="D79" s="243"/>
      <c r="E79" s="239"/>
      <c r="F79" s="238"/>
      <c r="G79" s="240"/>
      <c r="H79" s="240"/>
    </row>
    <row r="80" spans="1:11">
      <c r="A80" s="238"/>
      <c r="B80" s="238"/>
      <c r="C80" s="238"/>
      <c r="D80" s="243"/>
      <c r="E80" s="239"/>
      <c r="F80" s="238"/>
      <c r="G80" s="240"/>
      <c r="H80" s="240"/>
    </row>
    <row r="81" spans="1:8">
      <c r="A81" s="238"/>
      <c r="B81" s="238"/>
      <c r="C81" s="238"/>
      <c r="D81" s="243"/>
      <c r="E81" s="239"/>
      <c r="F81" s="238"/>
      <c r="G81" s="240"/>
      <c r="H81" s="240"/>
    </row>
    <row r="82" spans="1:8">
      <c r="A82" s="238"/>
      <c r="B82" s="238"/>
      <c r="C82" s="238"/>
      <c r="D82" s="244"/>
      <c r="E82" s="239"/>
      <c r="F82" s="238"/>
      <c r="G82" s="240"/>
      <c r="H82" s="240"/>
    </row>
    <row r="83" spans="1:8">
      <c r="A83" s="238"/>
      <c r="B83" s="238"/>
      <c r="C83" s="238"/>
      <c r="D83" s="238"/>
      <c r="E83" s="239"/>
      <c r="F83" s="238"/>
      <c r="G83" s="240"/>
      <c r="H83" s="240"/>
    </row>
  </sheetData>
  <sheetProtection sheet="1" objects="1" scenarios="1"/>
  <mergeCells count="63">
    <mergeCell ref="A8:J8"/>
    <mergeCell ref="G9:J9"/>
    <mergeCell ref="A9:F9"/>
    <mergeCell ref="A6:H6"/>
    <mergeCell ref="A1:J1"/>
    <mergeCell ref="A2:J2"/>
    <mergeCell ref="A3:J3"/>
    <mergeCell ref="A5:J5"/>
    <mergeCell ref="A7:J7"/>
    <mergeCell ref="A4:J4"/>
    <mergeCell ref="G50:H50"/>
    <mergeCell ref="G51:H51"/>
    <mergeCell ref="G52:H52"/>
    <mergeCell ref="G53:H53"/>
    <mergeCell ref="I52:J52"/>
    <mergeCell ref="I50:J50"/>
    <mergeCell ref="I51:J51"/>
    <mergeCell ref="A52:F52"/>
    <mergeCell ref="A53:F53"/>
    <mergeCell ref="A55:J55"/>
    <mergeCell ref="A56:J56"/>
    <mergeCell ref="D63:D64"/>
    <mergeCell ref="E63:E64"/>
    <mergeCell ref="F63:F64"/>
    <mergeCell ref="G63:G64"/>
    <mergeCell ref="G57:H57"/>
    <mergeCell ref="I57:J57"/>
    <mergeCell ref="G58:H58"/>
    <mergeCell ref="I58:J58"/>
    <mergeCell ref="G59:H59"/>
    <mergeCell ref="I59:J59"/>
    <mergeCell ref="I53:J53"/>
    <mergeCell ref="A38:J38"/>
    <mergeCell ref="A39:J39"/>
    <mergeCell ref="A40:F40"/>
    <mergeCell ref="A48:J48"/>
    <mergeCell ref="A49:J49"/>
    <mergeCell ref="G40:J40"/>
    <mergeCell ref="A29:J29"/>
    <mergeCell ref="A30:J30"/>
    <mergeCell ref="A31:F31"/>
    <mergeCell ref="A18:J18"/>
    <mergeCell ref="A19:J19"/>
    <mergeCell ref="A20:F20"/>
    <mergeCell ref="G31:J31"/>
    <mergeCell ref="G20:J20"/>
    <mergeCell ref="A77:B77"/>
    <mergeCell ref="A68:B68"/>
    <mergeCell ref="A69:B69"/>
    <mergeCell ref="A70:B70"/>
    <mergeCell ref="A71:B71"/>
    <mergeCell ref="A72:B72"/>
    <mergeCell ref="A66:B66"/>
    <mergeCell ref="A60:H60"/>
    <mergeCell ref="A73:B73"/>
    <mergeCell ref="A74:B74"/>
    <mergeCell ref="A75:B75"/>
    <mergeCell ref="H63:H64"/>
    <mergeCell ref="C62:E62"/>
    <mergeCell ref="F62:H62"/>
    <mergeCell ref="A61:H61"/>
    <mergeCell ref="A67:B67"/>
    <mergeCell ref="C63:C64"/>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CC5EE-5998-F64C-969F-29C7F7DA27FA}">
  <sheetPr>
    <pageSetUpPr fitToPage="1"/>
  </sheetPr>
  <dimension ref="A1:L167"/>
  <sheetViews>
    <sheetView zoomScale="130" zoomScaleNormal="130" zoomScalePageLayoutView="125" workbookViewId="0">
      <selection activeCell="H25" sqref="H25"/>
    </sheetView>
  </sheetViews>
  <sheetFormatPr baseColWidth="10" defaultColWidth="8.83203125" defaultRowHeight="13"/>
  <cols>
    <col min="1" max="1" width="22.33203125" style="225" customWidth="1"/>
    <col min="2" max="2" width="10.6640625" style="225" customWidth="1"/>
    <col min="3" max="3" width="11" style="225" customWidth="1"/>
    <col min="4" max="4" width="10.33203125" style="225" customWidth="1"/>
    <col min="5" max="5" width="11.33203125" style="225" customWidth="1"/>
    <col min="6" max="6" width="10.6640625" style="225" customWidth="1"/>
    <col min="7" max="7" width="10.33203125" style="225" customWidth="1"/>
    <col min="8" max="8" width="11.1640625" style="225" customWidth="1"/>
    <col min="9" max="9" width="11" style="225" customWidth="1"/>
    <col min="10" max="10" width="10.83203125" style="225" customWidth="1"/>
    <col min="11" max="16384" width="8.83203125" style="225"/>
  </cols>
  <sheetData>
    <row r="1" spans="1:12" ht="20.25" customHeight="1">
      <c r="A1" s="1963" t="s">
        <v>19</v>
      </c>
      <c r="B1" s="1964"/>
      <c r="C1" s="1964"/>
      <c r="D1" s="1964"/>
      <c r="E1" s="1964"/>
      <c r="F1" s="1964"/>
      <c r="G1" s="1964"/>
      <c r="H1" s="1964"/>
      <c r="I1" s="1964"/>
      <c r="J1" s="1965"/>
    </row>
    <row r="2" spans="1:12" ht="20" customHeight="1">
      <c r="A2" s="1966" t="s">
        <v>223</v>
      </c>
      <c r="B2" s="1967"/>
      <c r="C2" s="1967"/>
      <c r="D2" s="1967"/>
      <c r="E2" s="1967"/>
      <c r="F2" s="1967"/>
      <c r="G2" s="1967"/>
      <c r="H2" s="1967"/>
      <c r="I2" s="1967"/>
      <c r="J2" s="1968"/>
    </row>
    <row r="3" spans="1:12" ht="19.5" customHeight="1">
      <c r="A3" s="1969" t="s">
        <v>532</v>
      </c>
      <c r="B3" s="1970"/>
      <c r="C3" s="1970"/>
      <c r="D3" s="1970"/>
      <c r="E3" s="1970"/>
      <c r="F3" s="1970"/>
      <c r="G3" s="1970"/>
      <c r="H3" s="1970"/>
      <c r="I3" s="1970"/>
      <c r="J3" s="1971"/>
    </row>
    <row r="4" spans="1:12" ht="33" customHeight="1" thickBot="1">
      <c r="A4" s="1872" t="s">
        <v>236</v>
      </c>
      <c r="B4" s="1873"/>
      <c r="C4" s="1873"/>
      <c r="D4" s="1873"/>
      <c r="E4" s="1873"/>
      <c r="F4" s="1873"/>
      <c r="G4" s="1873"/>
      <c r="H4" s="1873"/>
      <c r="I4" s="1873"/>
      <c r="J4" s="1874"/>
    </row>
    <row r="5" spans="1:12" ht="15" thickBot="1">
      <c r="A5" s="245"/>
      <c r="B5" s="245"/>
      <c r="C5" s="245"/>
      <c r="D5" s="245"/>
      <c r="E5" s="970"/>
      <c r="F5" s="970"/>
      <c r="G5" s="970"/>
      <c r="H5" s="970"/>
    </row>
    <row r="6" spans="1:12" s="255" customFormat="1" ht="19" thickBot="1">
      <c r="A6" s="1679" t="s">
        <v>15</v>
      </c>
      <c r="B6" s="1680"/>
      <c r="C6" s="1680"/>
      <c r="D6" s="1681"/>
      <c r="E6" s="1972"/>
      <c r="F6" s="1972"/>
      <c r="G6" s="1972"/>
      <c r="H6" s="1972"/>
    </row>
    <row r="7" spans="1:12" s="255" customFormat="1" ht="15" customHeight="1" thickBot="1">
      <c r="A7" s="971" t="s">
        <v>220</v>
      </c>
      <c r="B7" s="596">
        <v>44228</v>
      </c>
      <c r="C7" s="596">
        <v>44287</v>
      </c>
      <c r="D7" s="972">
        <v>44652</v>
      </c>
      <c r="E7" s="973"/>
      <c r="F7" s="1973"/>
      <c r="G7" s="1973"/>
      <c r="H7" s="1973"/>
      <c r="I7" s="1973"/>
      <c r="J7" s="1973"/>
    </row>
    <row r="8" spans="1:12" s="255" customFormat="1" ht="14" customHeight="1">
      <c r="A8" s="974" t="s">
        <v>199</v>
      </c>
      <c r="B8" s="946">
        <v>26666.41</v>
      </c>
      <c r="C8" s="946">
        <v>27266.400000000001</v>
      </c>
      <c r="D8" s="498">
        <v>27879.9</v>
      </c>
      <c r="E8" s="975"/>
      <c r="F8" s="1973"/>
      <c r="G8" s="1973"/>
      <c r="H8" s="1973"/>
      <c r="I8" s="1973"/>
      <c r="J8" s="1973"/>
    </row>
    <row r="9" spans="1:12" s="255" customFormat="1" ht="13.5" customHeight="1">
      <c r="A9" s="974" t="s">
        <v>221</v>
      </c>
      <c r="B9" s="946">
        <v>23583.06</v>
      </c>
      <c r="C9" s="946">
        <v>24113.68</v>
      </c>
      <c r="D9" s="498">
        <v>24656.240000000002</v>
      </c>
      <c r="E9" s="975"/>
      <c r="F9" s="1973"/>
      <c r="G9" s="1973"/>
      <c r="H9" s="1973"/>
      <c r="I9" s="1973"/>
      <c r="J9" s="1973"/>
    </row>
    <row r="10" spans="1:12" s="255" customFormat="1" ht="15" customHeight="1" thickBot="1">
      <c r="A10" s="978" t="s">
        <v>200</v>
      </c>
      <c r="B10" s="947">
        <v>22996.28</v>
      </c>
      <c r="C10" s="947">
        <v>23513.7</v>
      </c>
      <c r="D10" s="499">
        <v>24042.75</v>
      </c>
      <c r="E10" s="975"/>
      <c r="F10" s="976"/>
      <c r="G10" s="977"/>
      <c r="H10" s="977"/>
      <c r="I10" s="258"/>
      <c r="J10" s="256"/>
      <c r="L10" s="257"/>
    </row>
    <row r="11" spans="1:12" s="255" customFormat="1" ht="15" thickBot="1">
      <c r="B11" s="256"/>
      <c r="C11" s="256"/>
      <c r="D11" s="256"/>
      <c r="E11" s="582"/>
      <c r="F11" s="582"/>
      <c r="G11" s="582"/>
      <c r="H11" s="582"/>
    </row>
    <row r="12" spans="1:12" s="255" customFormat="1" ht="19" thickBot="1">
      <c r="A12" s="1679" t="s">
        <v>170</v>
      </c>
      <c r="B12" s="1680"/>
      <c r="C12" s="1680"/>
      <c r="D12" s="1681"/>
    </row>
    <row r="13" spans="1:12" s="255" customFormat="1" ht="15" customHeight="1" thickBot="1">
      <c r="A13" s="1933" t="s">
        <v>171</v>
      </c>
      <c r="B13" s="1934"/>
      <c r="C13" s="1934"/>
      <c r="D13" s="1935"/>
    </row>
    <row r="14" spans="1:12" s="255" customFormat="1" ht="16" customHeight="1" thickBot="1">
      <c r="A14" s="979" t="s">
        <v>192</v>
      </c>
      <c r="B14" s="1047">
        <v>44228</v>
      </c>
      <c r="C14" s="1047">
        <v>44287</v>
      </c>
      <c r="D14" s="1046">
        <v>44652</v>
      </c>
    </row>
    <row r="15" spans="1:12" s="255" customFormat="1" ht="16" customHeight="1" thickBot="1">
      <c r="A15" s="980" t="s">
        <v>193</v>
      </c>
      <c r="B15" s="948">
        <v>128.83000000000001</v>
      </c>
      <c r="C15" s="948">
        <v>131.72999999999999</v>
      </c>
      <c r="D15" s="902">
        <v>134.69</v>
      </c>
      <c r="F15" s="256"/>
      <c r="G15" s="256"/>
      <c r="H15" s="256"/>
      <c r="I15" s="256"/>
      <c r="J15" s="256"/>
    </row>
    <row r="16" spans="1:12" s="255" customFormat="1" ht="16" customHeight="1" thickBot="1">
      <c r="A16" s="973"/>
      <c r="B16" s="903"/>
      <c r="C16" s="903"/>
      <c r="D16" s="903"/>
      <c r="F16" s="256"/>
      <c r="G16" s="256"/>
      <c r="H16" s="256"/>
      <c r="I16" s="256"/>
      <c r="J16" s="256"/>
    </row>
    <row r="17" spans="1:10" s="255" customFormat="1" ht="16" customHeight="1" thickBot="1">
      <c r="A17" s="1808" t="s">
        <v>197</v>
      </c>
      <c r="B17" s="1809"/>
      <c r="C17" s="1809"/>
      <c r="D17" s="1680"/>
      <c r="E17" s="1681"/>
      <c r="F17" s="256"/>
      <c r="G17" s="256"/>
      <c r="H17" s="256"/>
      <c r="I17" s="256"/>
      <c r="J17" s="256"/>
    </row>
    <row r="18" spans="1:10" s="255" customFormat="1" ht="16" customHeight="1" thickBot="1">
      <c r="A18" s="1020" t="s">
        <v>198</v>
      </c>
      <c r="B18" s="1021"/>
      <c r="C18" s="335">
        <v>44228</v>
      </c>
      <c r="D18" s="335">
        <v>44287</v>
      </c>
      <c r="E18" s="981">
        <v>44652</v>
      </c>
      <c r="F18" s="256"/>
      <c r="G18" s="256"/>
      <c r="H18" s="256"/>
      <c r="I18" s="256"/>
      <c r="J18" s="256"/>
    </row>
    <row r="19" spans="1:10" s="255" customFormat="1" ht="16" customHeight="1">
      <c r="A19" s="332" t="s">
        <v>194</v>
      </c>
      <c r="B19" s="333"/>
      <c r="C19" s="982">
        <v>69.290000000000006</v>
      </c>
      <c r="D19" s="982">
        <v>70.849999999999994</v>
      </c>
      <c r="E19" s="494">
        <v>72.44</v>
      </c>
      <c r="F19" s="256"/>
      <c r="G19" s="256"/>
      <c r="H19" s="256"/>
      <c r="I19" s="256"/>
      <c r="J19" s="256"/>
    </row>
    <row r="20" spans="1:10" s="255" customFormat="1" ht="16" customHeight="1">
      <c r="A20" s="337" t="s">
        <v>195</v>
      </c>
      <c r="B20" s="336"/>
      <c r="C20" s="983">
        <v>78.760000000000005</v>
      </c>
      <c r="D20" s="983">
        <v>80.53</v>
      </c>
      <c r="E20" s="495">
        <v>82.34</v>
      </c>
      <c r="F20" s="256"/>
      <c r="G20" s="256"/>
      <c r="H20" s="256"/>
      <c r="I20" s="256"/>
      <c r="J20" s="256"/>
    </row>
    <row r="21" spans="1:10" s="255" customFormat="1" ht="16" customHeight="1" thickBot="1">
      <c r="A21" s="338" t="s">
        <v>196</v>
      </c>
      <c r="B21" s="339"/>
      <c r="C21" s="984">
        <v>90.13</v>
      </c>
      <c r="D21" s="984">
        <v>92.16</v>
      </c>
      <c r="E21" s="497">
        <v>94.23</v>
      </c>
      <c r="F21" s="256"/>
      <c r="G21" s="256"/>
      <c r="H21" s="256"/>
      <c r="I21" s="256"/>
      <c r="J21" s="256"/>
    </row>
    <row r="22" spans="1:10" s="255" customFormat="1" ht="15" thickBot="1">
      <c r="A22" s="973"/>
      <c r="B22" s="263"/>
      <c r="C22" s="263"/>
      <c r="D22" s="263"/>
      <c r="G22" s="582"/>
    </row>
    <row r="23" spans="1:10" s="255" customFormat="1" ht="19" thickBot="1">
      <c r="A23" s="1974" t="s">
        <v>172</v>
      </c>
      <c r="B23" s="1975"/>
      <c r="C23" s="1975"/>
      <c r="D23" s="1975"/>
      <c r="E23" s="1975"/>
      <c r="F23" s="1976"/>
      <c r="G23" s="985"/>
    </row>
    <row r="24" spans="1:10" s="255" customFormat="1" ht="15" thickBot="1">
      <c r="A24" s="1961"/>
      <c r="B24" s="1962"/>
      <c r="C24" s="1962"/>
      <c r="D24" s="334">
        <v>44228</v>
      </c>
      <c r="E24" s="909">
        <v>44287</v>
      </c>
      <c r="F24" s="986">
        <v>44652</v>
      </c>
      <c r="G24" s="987"/>
    </row>
    <row r="25" spans="1:10" s="255" customFormat="1" ht="14" customHeight="1">
      <c r="A25" s="1948" t="s">
        <v>203</v>
      </c>
      <c r="B25" s="1949"/>
      <c r="C25" s="365" t="s">
        <v>165</v>
      </c>
      <c r="D25" s="949">
        <v>34.64</v>
      </c>
      <c r="E25" s="988">
        <v>35.42</v>
      </c>
      <c r="F25" s="491">
        <v>36.22</v>
      </c>
      <c r="G25" s="989"/>
    </row>
    <row r="26" spans="1:10" s="255" customFormat="1" ht="14">
      <c r="A26" s="1950" t="s">
        <v>204</v>
      </c>
      <c r="B26" s="1951"/>
      <c r="C26" s="1045" t="s">
        <v>165</v>
      </c>
      <c r="D26" s="950">
        <v>51.97</v>
      </c>
      <c r="E26" s="990">
        <v>53.14</v>
      </c>
      <c r="F26" s="492">
        <v>54.33</v>
      </c>
      <c r="G26" s="989"/>
    </row>
    <row r="27" spans="1:10" s="255" customFormat="1" ht="23" customHeight="1">
      <c r="A27" s="1952" t="s">
        <v>201</v>
      </c>
      <c r="B27" s="1953"/>
      <c r="C27" s="1045" t="s">
        <v>165</v>
      </c>
      <c r="D27" s="950">
        <v>56.57</v>
      </c>
      <c r="E27" s="990">
        <v>57.84</v>
      </c>
      <c r="F27" s="492">
        <v>59.14</v>
      </c>
      <c r="G27" s="989"/>
    </row>
    <row r="28" spans="1:10" s="255" customFormat="1" ht="15.75" customHeight="1" thickBot="1">
      <c r="A28" s="1954" t="s">
        <v>202</v>
      </c>
      <c r="B28" s="1955"/>
      <c r="C28" s="340" t="s">
        <v>165</v>
      </c>
      <c r="D28" s="951">
        <v>20.3</v>
      </c>
      <c r="E28" s="991">
        <v>20.76</v>
      </c>
      <c r="F28" s="493">
        <v>21.22</v>
      </c>
      <c r="G28" s="989"/>
    </row>
    <row r="29" spans="1:10" s="255" customFormat="1" ht="15" thickBot="1">
      <c r="A29" s="245"/>
      <c r="B29" s="245"/>
      <c r="C29" s="245"/>
      <c r="D29" s="245"/>
      <c r="E29" s="245"/>
      <c r="F29" s="246"/>
      <c r="G29" s="245"/>
    </row>
    <row r="30" spans="1:10" s="255" customFormat="1" ht="19" thickBot="1">
      <c r="A30" s="1808" t="s">
        <v>206</v>
      </c>
      <c r="B30" s="1680"/>
      <c r="C30" s="1680"/>
      <c r="D30" s="1680"/>
      <c r="E30" s="1680"/>
      <c r="F30" s="1680"/>
      <c r="G30" s="1680"/>
      <c r="H30" s="1680"/>
      <c r="I30" s="1680"/>
      <c r="J30" s="1681"/>
    </row>
    <row r="31" spans="1:10" s="255" customFormat="1" ht="15" customHeight="1" thickBot="1">
      <c r="A31" s="1956" t="s">
        <v>207</v>
      </c>
      <c r="B31" s="1958" t="s">
        <v>212</v>
      </c>
      <c r="C31" s="1959"/>
      <c r="D31" s="1960"/>
      <c r="E31" s="1958" t="s">
        <v>214</v>
      </c>
      <c r="F31" s="1959"/>
      <c r="G31" s="1960"/>
      <c r="H31" s="1958" t="s">
        <v>213</v>
      </c>
      <c r="I31" s="1959"/>
      <c r="J31" s="1960"/>
    </row>
    <row r="32" spans="1:10" s="255" customFormat="1" ht="15" thickBot="1">
      <c r="A32" s="1957"/>
      <c r="B32" s="330">
        <v>44228</v>
      </c>
      <c r="C32" s="1058">
        <v>44287</v>
      </c>
      <c r="D32" s="1059">
        <v>44652</v>
      </c>
      <c r="E32" s="1060">
        <v>44228</v>
      </c>
      <c r="F32" s="1058">
        <v>44287</v>
      </c>
      <c r="G32" s="992">
        <v>44652</v>
      </c>
      <c r="H32" s="331">
        <v>44228</v>
      </c>
      <c r="I32" s="1061">
        <v>44287</v>
      </c>
      <c r="J32" s="1062">
        <v>44652</v>
      </c>
    </row>
    <row r="33" spans="1:10" s="255" customFormat="1" ht="15" customHeight="1">
      <c r="A33" s="326" t="s">
        <v>208</v>
      </c>
      <c r="B33" s="952">
        <v>604.65</v>
      </c>
      <c r="C33" s="1024">
        <v>618.26</v>
      </c>
      <c r="D33" s="1063">
        <v>632.16999999999996</v>
      </c>
      <c r="E33" s="995">
        <v>907.25</v>
      </c>
      <c r="F33" s="1025">
        <v>927.66</v>
      </c>
      <c r="G33" s="1064">
        <v>948.53</v>
      </c>
      <c r="H33" s="995">
        <v>1209.3</v>
      </c>
      <c r="I33" s="1065">
        <v>1236.51</v>
      </c>
      <c r="J33" s="1066">
        <v>1264.3399999999999</v>
      </c>
    </row>
    <row r="34" spans="1:10" s="255" customFormat="1" ht="15" customHeight="1">
      <c r="A34" s="326" t="s">
        <v>209</v>
      </c>
      <c r="B34" s="953">
        <v>604.65</v>
      </c>
      <c r="C34" s="1026">
        <v>618.26</v>
      </c>
      <c r="D34" s="905">
        <v>632.16999999999996</v>
      </c>
      <c r="E34" s="998">
        <v>907.25</v>
      </c>
      <c r="F34" s="1028">
        <v>927.66</v>
      </c>
      <c r="G34" s="997">
        <v>948.53</v>
      </c>
      <c r="H34" s="998">
        <v>1209.3</v>
      </c>
      <c r="I34" s="1027">
        <v>1236.51</v>
      </c>
      <c r="J34" s="997">
        <v>1264.3399999999999</v>
      </c>
    </row>
    <row r="35" spans="1:10" s="255" customFormat="1" ht="15" customHeight="1">
      <c r="A35" s="326" t="s">
        <v>210</v>
      </c>
      <c r="B35" s="953">
        <v>604.65</v>
      </c>
      <c r="C35" s="1026">
        <v>618.26</v>
      </c>
      <c r="D35" s="905">
        <v>632.16999999999996</v>
      </c>
      <c r="E35" s="998">
        <v>1209.3</v>
      </c>
      <c r="F35" s="1028">
        <v>1236.51</v>
      </c>
      <c r="G35" s="997">
        <v>1264.3399999999999</v>
      </c>
      <c r="H35" s="998">
        <v>1813.96</v>
      </c>
      <c r="I35" s="1027">
        <v>1854.77</v>
      </c>
      <c r="J35" s="905">
        <v>1896.5</v>
      </c>
    </row>
    <row r="36" spans="1:10" s="255" customFormat="1" ht="15" customHeight="1">
      <c r="A36" s="326" t="s">
        <v>494</v>
      </c>
      <c r="B36" s="953">
        <v>604.65</v>
      </c>
      <c r="C36" s="1026">
        <v>618.26</v>
      </c>
      <c r="D36" s="905">
        <v>632.16999999999996</v>
      </c>
      <c r="E36" s="998">
        <v>1209.3</v>
      </c>
      <c r="F36" s="1028">
        <v>1236.51</v>
      </c>
      <c r="G36" s="997">
        <v>1264.3399999999999</v>
      </c>
      <c r="H36" s="998">
        <v>1813.96</v>
      </c>
      <c r="I36" s="1027">
        <v>1854.77</v>
      </c>
      <c r="J36" s="905">
        <v>1896.5</v>
      </c>
    </row>
    <row r="37" spans="1:10" s="255" customFormat="1" ht="15" customHeight="1" thickBot="1">
      <c r="A37" s="327" t="s">
        <v>211</v>
      </c>
      <c r="B37" s="954">
        <v>1813.96</v>
      </c>
      <c r="C37" s="1031">
        <v>1854.77</v>
      </c>
      <c r="D37" s="906">
        <v>1896.5</v>
      </c>
      <c r="E37" s="1001">
        <v>2418.61</v>
      </c>
      <c r="F37" s="1029">
        <v>2473.0300000000002</v>
      </c>
      <c r="G37" s="1000">
        <v>2528.67</v>
      </c>
      <c r="H37" s="1001">
        <v>3023.26</v>
      </c>
      <c r="I37" s="1030">
        <v>3091.29</v>
      </c>
      <c r="J37" s="1000">
        <v>3160.84</v>
      </c>
    </row>
    <row r="38" spans="1:10" s="255" customFormat="1" ht="15" thickBot="1">
      <c r="A38" s="245"/>
      <c r="B38" s="245"/>
      <c r="C38" s="245"/>
      <c r="D38" s="245"/>
      <c r="E38" s="245"/>
      <c r="F38" s="246"/>
      <c r="G38" s="245"/>
    </row>
    <row r="39" spans="1:10" s="255" customFormat="1" ht="19" thickBot="1">
      <c r="A39" s="1679" t="s">
        <v>215</v>
      </c>
      <c r="B39" s="1680"/>
      <c r="C39" s="1680"/>
      <c r="D39" s="1680"/>
      <c r="E39" s="1680"/>
      <c r="F39" s="1680"/>
      <c r="G39" s="1680"/>
      <c r="H39" s="1680"/>
      <c r="I39" s="1680"/>
      <c r="J39" s="1681"/>
    </row>
    <row r="40" spans="1:10" s="255" customFormat="1" ht="15" customHeight="1" thickBot="1">
      <c r="A40" s="1956" t="s">
        <v>207</v>
      </c>
      <c r="B40" s="1958" t="s">
        <v>212</v>
      </c>
      <c r="C40" s="1959"/>
      <c r="D40" s="1960"/>
      <c r="E40" s="1959" t="s">
        <v>214</v>
      </c>
      <c r="F40" s="1959"/>
      <c r="G40" s="1959"/>
      <c r="H40" s="1958" t="s">
        <v>213</v>
      </c>
      <c r="I40" s="1959"/>
      <c r="J40" s="1960"/>
    </row>
    <row r="41" spans="1:10" s="255" customFormat="1" ht="15" thickBot="1">
      <c r="A41" s="1957"/>
      <c r="B41" s="329">
        <v>44228</v>
      </c>
      <c r="C41" s="330">
        <v>44287</v>
      </c>
      <c r="D41" s="992">
        <v>44652</v>
      </c>
      <c r="E41" s="330">
        <v>44228</v>
      </c>
      <c r="F41" s="330">
        <v>44287</v>
      </c>
      <c r="G41" s="992">
        <v>44652</v>
      </c>
      <c r="H41" s="1022">
        <v>44228</v>
      </c>
      <c r="I41" s="1022">
        <v>44287</v>
      </c>
      <c r="J41" s="1023">
        <v>44652</v>
      </c>
    </row>
    <row r="42" spans="1:10" s="255" customFormat="1" ht="15" customHeight="1">
      <c r="A42" s="324" t="s">
        <v>216</v>
      </c>
      <c r="B42" s="1024">
        <v>604.65</v>
      </c>
      <c r="C42" s="952">
        <v>618.26</v>
      </c>
      <c r="D42" s="904">
        <v>632.16999999999996</v>
      </c>
      <c r="E42" s="1025">
        <v>1209.3</v>
      </c>
      <c r="F42" s="993">
        <v>1236.51</v>
      </c>
      <c r="G42" s="994">
        <v>1264.3399999999999</v>
      </c>
      <c r="H42" s="1024">
        <v>1813.96</v>
      </c>
      <c r="I42" s="952">
        <v>1854.77</v>
      </c>
      <c r="J42" s="904">
        <v>1896.5</v>
      </c>
    </row>
    <row r="43" spans="1:10" s="255" customFormat="1" ht="15" customHeight="1">
      <c r="A43" s="324" t="s">
        <v>211</v>
      </c>
      <c r="B43" s="1026">
        <v>1813.96</v>
      </c>
      <c r="C43" s="953">
        <v>1854.77</v>
      </c>
      <c r="D43" s="905">
        <v>1896.5</v>
      </c>
      <c r="E43" s="1028">
        <v>2418.61</v>
      </c>
      <c r="F43" s="996">
        <v>2473.0300000000002</v>
      </c>
      <c r="G43" s="997">
        <v>2528.67</v>
      </c>
      <c r="H43" s="1028">
        <v>3023.26</v>
      </c>
      <c r="I43" s="996">
        <v>3091.29</v>
      </c>
      <c r="J43" s="997">
        <v>3160.84</v>
      </c>
    </row>
    <row r="44" spans="1:10" s="255" customFormat="1" ht="15" customHeight="1">
      <c r="A44" s="324" t="s">
        <v>217</v>
      </c>
      <c r="B44" s="1028">
        <v>1209.3</v>
      </c>
      <c r="C44" s="996">
        <v>1236.51</v>
      </c>
      <c r="D44" s="997">
        <v>1264.3399999999999</v>
      </c>
      <c r="E44" s="1026">
        <v>1813.96</v>
      </c>
      <c r="F44" s="953">
        <v>1854.77</v>
      </c>
      <c r="G44" s="905">
        <v>1896.5</v>
      </c>
      <c r="H44" s="1028">
        <v>2418.61</v>
      </c>
      <c r="I44" s="996">
        <v>2473.0300000000002</v>
      </c>
      <c r="J44" s="997">
        <v>2528.67</v>
      </c>
    </row>
    <row r="45" spans="1:10" s="255" customFormat="1" ht="15" customHeight="1">
      <c r="A45" s="324" t="s">
        <v>218</v>
      </c>
      <c r="B45" s="1028">
        <v>1209.3</v>
      </c>
      <c r="C45" s="996">
        <v>1236.51</v>
      </c>
      <c r="D45" s="997">
        <v>1264.3399999999999</v>
      </c>
      <c r="E45" s="1028">
        <v>1209.3</v>
      </c>
      <c r="F45" s="996">
        <v>1236.51</v>
      </c>
      <c r="G45" s="997">
        <v>1264.3399999999999</v>
      </c>
      <c r="H45" s="1028">
        <v>1209.3</v>
      </c>
      <c r="I45" s="996">
        <v>1236.51</v>
      </c>
      <c r="J45" s="997">
        <v>1264.3399999999999</v>
      </c>
    </row>
    <row r="46" spans="1:10" s="255" customFormat="1" ht="15" customHeight="1">
      <c r="A46" s="324" t="s">
        <v>327</v>
      </c>
      <c r="B46" s="1026">
        <v>604.65</v>
      </c>
      <c r="C46" s="953">
        <v>618.26</v>
      </c>
      <c r="D46" s="905">
        <v>632.16999999999996</v>
      </c>
      <c r="E46" s="1028">
        <v>907.25</v>
      </c>
      <c r="F46" s="953">
        <v>927.66</v>
      </c>
      <c r="G46" s="905">
        <v>948.53</v>
      </c>
      <c r="H46" s="1028">
        <v>1209.3</v>
      </c>
      <c r="I46" s="996">
        <v>1236.51</v>
      </c>
      <c r="J46" s="997">
        <v>1264.3399999999999</v>
      </c>
    </row>
    <row r="47" spans="1:10" s="255" customFormat="1" ht="15" customHeight="1" thickBot="1">
      <c r="A47" s="325" t="s">
        <v>219</v>
      </c>
      <c r="B47" s="1029">
        <v>1209.3</v>
      </c>
      <c r="C47" s="999">
        <v>1236.51</v>
      </c>
      <c r="D47" s="1000">
        <v>1264.3399999999999</v>
      </c>
      <c r="E47" s="1031">
        <v>1813.96</v>
      </c>
      <c r="F47" s="954">
        <v>1854.77</v>
      </c>
      <c r="G47" s="906">
        <v>1896.5</v>
      </c>
      <c r="H47" s="1029">
        <v>2418.61</v>
      </c>
      <c r="I47" s="999">
        <v>2473.0300000000002</v>
      </c>
      <c r="J47" s="1000">
        <v>2528.67</v>
      </c>
    </row>
    <row r="48" spans="1:10" s="255" customFormat="1" ht="9" customHeight="1">
      <c r="A48" s="1002"/>
      <c r="B48" s="907"/>
      <c r="C48" s="907"/>
      <c r="D48" s="1003"/>
      <c r="E48" s="907"/>
      <c r="F48" s="907"/>
      <c r="G48" s="1003"/>
      <c r="H48" s="1004"/>
      <c r="I48" s="1003"/>
      <c r="J48" s="1003"/>
    </row>
    <row r="49" spans="1:10" s="255" customFormat="1" ht="15" customHeight="1">
      <c r="A49" s="255" t="s">
        <v>239</v>
      </c>
      <c r="F49" s="323"/>
      <c r="G49" s="245"/>
      <c r="H49" s="1004"/>
      <c r="I49" s="1003"/>
      <c r="J49" s="1003"/>
    </row>
    <row r="50" spans="1:10" s="255" customFormat="1" ht="12" customHeight="1">
      <c r="A50" s="505" t="s">
        <v>205</v>
      </c>
      <c r="F50" s="323"/>
      <c r="G50" s="245"/>
      <c r="H50" s="1004"/>
      <c r="I50" s="1003"/>
      <c r="J50" s="1003"/>
    </row>
    <row r="51" spans="1:10" s="255" customFormat="1" ht="12" customHeight="1">
      <c r="A51" s="505" t="s">
        <v>495</v>
      </c>
      <c r="F51" s="323"/>
      <c r="G51" s="245"/>
      <c r="H51" s="1004"/>
      <c r="I51" s="1003"/>
      <c r="J51" s="1003"/>
    </row>
    <row r="52" spans="1:10" s="255" customFormat="1" ht="22" customHeight="1" thickBot="1">
      <c r="A52" s="1032" t="s">
        <v>496</v>
      </c>
    </row>
    <row r="53" spans="1:10" s="255" customFormat="1" ht="19" thickBot="1">
      <c r="A53" s="1679" t="s">
        <v>237</v>
      </c>
      <c r="B53" s="1680"/>
      <c r="C53" s="1680"/>
      <c r="D53" s="1680"/>
      <c r="E53" s="1680"/>
      <c r="F53" s="1680"/>
      <c r="G53" s="1681"/>
      <c r="H53" s="257"/>
    </row>
    <row r="54" spans="1:10" s="255" customFormat="1" ht="16" customHeight="1" thickBot="1">
      <c r="A54" s="1933" t="s">
        <v>497</v>
      </c>
      <c r="B54" s="1934"/>
      <c r="C54" s="1934"/>
      <c r="D54" s="1934"/>
      <c r="E54" s="1934"/>
      <c r="F54" s="1934"/>
      <c r="G54" s="1935"/>
    </row>
    <row r="55" spans="1:10" s="255" customFormat="1" ht="16" customHeight="1" thickBot="1">
      <c r="A55" s="910"/>
      <c r="B55" s="1940">
        <v>44287</v>
      </c>
      <c r="C55" s="1941"/>
      <c r="D55" s="1942">
        <v>44652</v>
      </c>
      <c r="E55" s="1943"/>
      <c r="F55" s="1940">
        <v>45017</v>
      </c>
      <c r="G55" s="1941"/>
    </row>
    <row r="56" spans="1:10" s="255" customFormat="1" ht="16" customHeight="1" thickBot="1">
      <c r="A56" s="980" t="s">
        <v>238</v>
      </c>
      <c r="B56" s="1944">
        <v>2.25</v>
      </c>
      <c r="C56" s="1945"/>
      <c r="D56" s="1946">
        <v>2.25</v>
      </c>
      <c r="E56" s="1947"/>
      <c r="F56" s="1944">
        <v>2.25</v>
      </c>
      <c r="G56" s="1945"/>
      <c r="H56" s="1005"/>
    </row>
    <row r="57" spans="1:10" s="255" customFormat="1" ht="15" thickBot="1">
      <c r="A57" s="1006"/>
      <c r="B57" s="1007"/>
      <c r="C57" s="908"/>
      <c r="D57" s="908"/>
    </row>
    <row r="58" spans="1:10" s="255" customFormat="1" ht="19" thickBot="1">
      <c r="A58" s="1679" t="s">
        <v>434</v>
      </c>
      <c r="B58" s="1680"/>
      <c r="C58" s="1680"/>
      <c r="D58" s="1680"/>
      <c r="E58" s="1681"/>
    </row>
    <row r="59" spans="1:10" s="255" customFormat="1" ht="16" customHeight="1" thickBot="1">
      <c r="A59" s="1933" t="s">
        <v>436</v>
      </c>
      <c r="B59" s="1934"/>
      <c r="C59" s="1934"/>
      <c r="D59" s="1934"/>
      <c r="E59" s="1935"/>
    </row>
    <row r="60" spans="1:10" s="255" customFormat="1" ht="16" customHeight="1" thickBot="1">
      <c r="A60" s="1936"/>
      <c r="B60" s="1937"/>
      <c r="C60" s="1067">
        <v>44228</v>
      </c>
      <c r="D60" s="1033">
        <v>44287</v>
      </c>
      <c r="E60" s="1008">
        <v>44652</v>
      </c>
    </row>
    <row r="61" spans="1:10" s="255" customFormat="1" ht="16" customHeight="1" thickBot="1">
      <c r="A61" s="1938" t="s">
        <v>435</v>
      </c>
      <c r="B61" s="1939"/>
      <c r="C61" s="1068">
        <v>3247.91</v>
      </c>
      <c r="D61" s="1034">
        <v>3320.99</v>
      </c>
      <c r="E61" s="1009">
        <v>3395.71</v>
      </c>
    </row>
    <row r="62" spans="1:10" s="255" customFormat="1" ht="14">
      <c r="A62" s="1010"/>
      <c r="B62" s="1010"/>
      <c r="C62" s="1011"/>
      <c r="D62" s="1011"/>
    </row>
    <row r="63" spans="1:10" ht="14">
      <c r="A63" s="1010"/>
      <c r="B63" s="1010"/>
      <c r="C63" s="1011"/>
      <c r="D63" s="1011"/>
      <c r="E63" s="255"/>
      <c r="F63" s="255"/>
      <c r="G63" s="255"/>
      <c r="H63" s="255"/>
      <c r="I63" s="255"/>
      <c r="J63" s="255"/>
    </row>
    <row r="64" spans="1:10" ht="14">
      <c r="A64" s="1012"/>
      <c r="B64" s="1012"/>
      <c r="C64" s="1013"/>
      <c r="D64" s="1011"/>
      <c r="E64" s="1044"/>
      <c r="F64" s="1044"/>
      <c r="G64" s="1044"/>
      <c r="H64" s="1044"/>
      <c r="I64" s="255"/>
      <c r="J64" s="255"/>
    </row>
    <row r="65" spans="1:10" ht="14">
      <c r="A65" s="1012"/>
      <c r="B65" s="1012"/>
      <c r="C65" s="1013"/>
      <c r="D65" s="1011"/>
      <c r="E65" s="255"/>
      <c r="F65" s="255"/>
      <c r="G65" s="255"/>
      <c r="H65" s="255"/>
      <c r="I65" s="255"/>
      <c r="J65" s="255"/>
    </row>
    <row r="66" spans="1:10" ht="14">
      <c r="A66" s="582"/>
      <c r="B66" s="582"/>
      <c r="C66" s="582"/>
      <c r="D66" s="582"/>
      <c r="E66" s="255"/>
      <c r="F66" s="255"/>
      <c r="G66" s="255"/>
      <c r="H66" s="255"/>
      <c r="I66" s="255"/>
      <c r="J66" s="255"/>
    </row>
    <row r="67" spans="1:10" ht="14">
      <c r="A67" s="255"/>
      <c r="B67" s="255"/>
      <c r="C67" s="255"/>
      <c r="D67" s="255"/>
      <c r="E67" s="255"/>
      <c r="F67" s="255"/>
      <c r="G67" s="255"/>
      <c r="H67" s="255"/>
      <c r="I67" s="255"/>
      <c r="J67" s="255"/>
    </row>
    <row r="68" spans="1:10" ht="14">
      <c r="A68" s="255"/>
      <c r="B68" s="255"/>
      <c r="C68" s="255"/>
      <c r="D68" s="255"/>
      <c r="E68" s="255"/>
      <c r="F68" s="255"/>
      <c r="G68" s="255"/>
      <c r="H68" s="255"/>
      <c r="I68" s="255"/>
      <c r="J68" s="255"/>
    </row>
    <row r="69" spans="1:10" ht="14">
      <c r="A69" s="255"/>
      <c r="B69" s="255"/>
      <c r="C69" s="255"/>
      <c r="D69" s="255"/>
      <c r="E69" s="255"/>
      <c r="F69" s="255"/>
      <c r="G69" s="255"/>
      <c r="H69" s="255"/>
      <c r="I69" s="255"/>
      <c r="J69" s="255"/>
    </row>
    <row r="70" spans="1:10" ht="14">
      <c r="A70" s="255"/>
      <c r="B70" s="255"/>
      <c r="C70" s="255"/>
      <c r="D70" s="255"/>
    </row>
    <row r="71" spans="1:10" ht="14">
      <c r="A71" s="1044"/>
      <c r="B71" s="1044"/>
      <c r="C71" s="1044"/>
      <c r="D71" s="1044"/>
    </row>
    <row r="72" spans="1:10" s="255" customFormat="1" ht="14">
      <c r="A72" s="1044"/>
      <c r="E72" s="225"/>
      <c r="F72" s="225"/>
      <c r="G72" s="225"/>
      <c r="H72" s="225"/>
      <c r="I72" s="225"/>
      <c r="J72" s="225"/>
    </row>
    <row r="73" spans="1:10" s="255" customFormat="1" ht="14">
      <c r="E73" s="225"/>
      <c r="F73" s="225"/>
      <c r="G73" s="225"/>
      <c r="H73" s="225"/>
      <c r="I73" s="225"/>
      <c r="J73" s="225"/>
    </row>
    <row r="74" spans="1:10" s="255" customFormat="1" ht="14">
      <c r="E74" s="225"/>
      <c r="F74" s="225"/>
      <c r="G74" s="225"/>
      <c r="H74" s="225"/>
      <c r="I74" s="225"/>
      <c r="J74" s="225"/>
    </row>
    <row r="75" spans="1:10" s="255" customFormat="1" ht="14">
      <c r="E75" s="225"/>
      <c r="F75" s="225"/>
      <c r="G75" s="225"/>
      <c r="H75" s="225"/>
      <c r="I75" s="225"/>
      <c r="J75" s="225"/>
    </row>
    <row r="76" spans="1:10" s="255" customFormat="1" ht="14">
      <c r="E76" s="225"/>
      <c r="F76" s="225"/>
      <c r="G76" s="225"/>
      <c r="H76" s="225"/>
      <c r="I76" s="225"/>
      <c r="J76" s="225"/>
    </row>
    <row r="77" spans="1:10" s="255" customFormat="1" ht="14">
      <c r="A77" s="225"/>
      <c r="B77" s="225"/>
      <c r="C77" s="225"/>
      <c r="D77" s="225"/>
      <c r="E77" s="225"/>
      <c r="F77" s="225"/>
      <c r="G77" s="225"/>
      <c r="H77" s="225"/>
      <c r="I77" s="225"/>
      <c r="J77" s="225"/>
    </row>
    <row r="78" spans="1:10" s="255" customFormat="1" ht="14">
      <c r="A78" s="225"/>
      <c r="B78" s="225"/>
      <c r="C78" s="225"/>
      <c r="D78" s="225"/>
      <c r="E78" s="225"/>
      <c r="F78" s="225"/>
      <c r="G78" s="225"/>
      <c r="H78" s="225"/>
      <c r="I78" s="225"/>
      <c r="J78" s="225"/>
    </row>
    <row r="79" spans="1:10" s="255" customFormat="1" ht="14">
      <c r="A79" s="225"/>
      <c r="B79" s="225"/>
      <c r="C79" s="225"/>
      <c r="D79" s="225"/>
    </row>
    <row r="80" spans="1:10" s="255" customFormat="1" ht="14">
      <c r="A80" s="225"/>
      <c r="B80" s="225"/>
      <c r="C80" s="225"/>
      <c r="D80" s="225"/>
    </row>
    <row r="81" spans="1:4" s="255" customFormat="1" ht="14">
      <c r="A81" s="225"/>
      <c r="B81" s="225"/>
      <c r="C81" s="225"/>
      <c r="D81" s="225"/>
    </row>
    <row r="82" spans="1:4" s="255" customFormat="1" ht="14">
      <c r="A82" s="225"/>
      <c r="B82" s="225"/>
      <c r="C82" s="225"/>
      <c r="D82" s="225"/>
    </row>
    <row r="83" spans="1:4" s="255" customFormat="1" ht="14">
      <c r="A83" s="225"/>
      <c r="B83" s="225"/>
      <c r="C83" s="225"/>
      <c r="D83" s="225"/>
    </row>
    <row r="84" spans="1:4" s="255" customFormat="1" ht="14">
      <c r="A84" s="225"/>
      <c r="B84" s="225"/>
      <c r="C84" s="225"/>
      <c r="D84" s="225"/>
    </row>
    <row r="85" spans="1:4" s="255" customFormat="1" ht="14">
      <c r="A85" s="225"/>
      <c r="B85" s="225"/>
      <c r="C85" s="225"/>
      <c r="D85" s="225"/>
    </row>
    <row r="86" spans="1:4" s="255" customFormat="1" ht="14"/>
    <row r="87" spans="1:4" s="255" customFormat="1" ht="14"/>
    <row r="88" spans="1:4" s="255" customFormat="1" ht="14"/>
    <row r="89" spans="1:4" s="255" customFormat="1" ht="14"/>
    <row r="90" spans="1:4" s="255" customFormat="1" ht="14"/>
    <row r="91" spans="1:4" s="255" customFormat="1" ht="14"/>
    <row r="92" spans="1:4" s="255" customFormat="1" ht="14"/>
    <row r="93" spans="1:4" s="255" customFormat="1" ht="14"/>
    <row r="94" spans="1:4" s="255" customFormat="1" ht="14"/>
    <row r="95" spans="1:4" s="255" customFormat="1" ht="14"/>
    <row r="96" spans="1:4"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pans="1:10" s="255" customFormat="1" ht="14"/>
    <row r="146" spans="1:10" s="255" customFormat="1" ht="14"/>
    <row r="147" spans="1:10" s="255" customFormat="1" ht="14"/>
    <row r="148" spans="1:10" s="255" customFormat="1" ht="14"/>
    <row r="149" spans="1:10" s="255" customFormat="1" ht="14"/>
    <row r="150" spans="1:10" s="255" customFormat="1" ht="14"/>
    <row r="151" spans="1:10" s="255" customFormat="1" ht="14"/>
    <row r="152" spans="1:10" s="255" customFormat="1" ht="14"/>
    <row r="153" spans="1:10" s="255" customFormat="1" ht="14"/>
    <row r="154" spans="1:10" ht="14">
      <c r="A154" s="255"/>
      <c r="B154" s="255"/>
      <c r="C154" s="255"/>
      <c r="D154" s="255"/>
      <c r="E154" s="255"/>
      <c r="F154" s="255"/>
      <c r="G154" s="255"/>
      <c r="H154" s="255"/>
      <c r="I154" s="255"/>
      <c r="J154" s="255"/>
    </row>
    <row r="155" spans="1:10" ht="14">
      <c r="A155" s="255"/>
      <c r="B155" s="255"/>
      <c r="C155" s="255"/>
      <c r="D155" s="255"/>
      <c r="E155" s="255"/>
      <c r="F155" s="255"/>
      <c r="G155" s="255"/>
      <c r="H155" s="255"/>
      <c r="I155" s="255"/>
      <c r="J155" s="255"/>
    </row>
    <row r="156" spans="1:10" ht="14">
      <c r="A156" s="255"/>
      <c r="B156" s="255"/>
      <c r="C156" s="255"/>
      <c r="D156" s="255"/>
      <c r="E156" s="255"/>
      <c r="F156" s="255"/>
      <c r="G156" s="255"/>
      <c r="H156" s="255"/>
      <c r="I156" s="255"/>
      <c r="J156" s="255"/>
    </row>
    <row r="157" spans="1:10" ht="14">
      <c r="A157" s="255"/>
      <c r="B157" s="255"/>
      <c r="C157" s="255"/>
      <c r="D157" s="255"/>
      <c r="E157" s="255"/>
      <c r="F157" s="255"/>
      <c r="G157" s="255"/>
      <c r="H157" s="255"/>
      <c r="I157" s="255"/>
      <c r="J157" s="255"/>
    </row>
    <row r="158" spans="1:10" ht="14">
      <c r="A158" s="255"/>
      <c r="B158" s="255"/>
      <c r="C158" s="255"/>
      <c r="D158" s="255"/>
      <c r="E158" s="255"/>
      <c r="F158" s="255"/>
      <c r="G158" s="255"/>
      <c r="H158" s="255"/>
      <c r="I158" s="255"/>
      <c r="J158" s="255"/>
    </row>
    <row r="159" spans="1:10" ht="14">
      <c r="A159" s="255"/>
      <c r="B159" s="255"/>
      <c r="C159" s="255"/>
      <c r="D159" s="255"/>
      <c r="E159" s="255"/>
      <c r="F159" s="255"/>
      <c r="G159" s="255"/>
      <c r="H159" s="255"/>
      <c r="I159" s="255"/>
      <c r="J159" s="255"/>
    </row>
    <row r="160" spans="1:10" ht="14">
      <c r="A160" s="255"/>
      <c r="B160" s="255"/>
      <c r="C160" s="255"/>
      <c r="D160" s="255"/>
      <c r="E160" s="255"/>
      <c r="F160" s="255"/>
      <c r="G160" s="255"/>
      <c r="H160" s="255"/>
      <c r="I160" s="255"/>
      <c r="J160" s="255"/>
    </row>
    <row r="161" spans="1:4" ht="14">
      <c r="A161" s="255"/>
      <c r="B161" s="255"/>
      <c r="C161" s="255"/>
      <c r="D161" s="255"/>
    </row>
    <row r="162" spans="1:4" ht="14">
      <c r="A162" s="255"/>
      <c r="B162" s="255"/>
      <c r="C162" s="255"/>
      <c r="D162" s="255"/>
    </row>
    <row r="163" spans="1:4" ht="14">
      <c r="A163" s="255"/>
      <c r="B163" s="255"/>
      <c r="C163" s="255"/>
      <c r="D163" s="255"/>
    </row>
    <row r="164" spans="1:4" ht="14">
      <c r="A164" s="255"/>
      <c r="B164" s="255"/>
      <c r="C164" s="255"/>
      <c r="D164" s="255"/>
    </row>
    <row r="165" spans="1:4" ht="14">
      <c r="A165" s="255"/>
      <c r="B165" s="255"/>
      <c r="C165" s="255"/>
      <c r="D165" s="255"/>
    </row>
    <row r="166" spans="1:4" ht="14">
      <c r="A166" s="255"/>
      <c r="B166" s="255"/>
      <c r="C166" s="255"/>
      <c r="D166" s="255"/>
    </row>
    <row r="167" spans="1:4" ht="14">
      <c r="A167" s="255"/>
      <c r="B167" s="255"/>
      <c r="C167" s="255"/>
      <c r="D167" s="255"/>
    </row>
  </sheetData>
  <sheetProtection algorithmName="SHA-512" hashValue="+ZpD1dZQUsVWzMBGCQD6emlrq6+vfawxRBEKfKh6ZYO133Tp2hYqEOLWk1OgzpDrtaSOaN1t//vR3qH+K5IgNg==" saltValue="4yBmCld/LjITX8SfVFPglg==" spinCount="100000" sheet="1" objects="1" scenarios="1"/>
  <mergeCells count="38">
    <mergeCell ref="A24:C24"/>
    <mergeCell ref="A1:J1"/>
    <mergeCell ref="A2:J2"/>
    <mergeCell ref="A3:J3"/>
    <mergeCell ref="A4:J4"/>
    <mergeCell ref="A6:D6"/>
    <mergeCell ref="E6:H6"/>
    <mergeCell ref="F7:J9"/>
    <mergeCell ref="A12:D12"/>
    <mergeCell ref="A13:D13"/>
    <mergeCell ref="A17:E17"/>
    <mergeCell ref="A23:F23"/>
    <mergeCell ref="A53:G53"/>
    <mergeCell ref="A25:B25"/>
    <mergeCell ref="A26:B26"/>
    <mergeCell ref="A27:B27"/>
    <mergeCell ref="A28:B28"/>
    <mergeCell ref="A30:J30"/>
    <mergeCell ref="A31:A32"/>
    <mergeCell ref="B31:D31"/>
    <mergeCell ref="E31:G31"/>
    <mergeCell ref="H31:J31"/>
    <mergeCell ref="A39:J39"/>
    <mergeCell ref="A40:A41"/>
    <mergeCell ref="B40:D40"/>
    <mergeCell ref="E40:G40"/>
    <mergeCell ref="H40:J40"/>
    <mergeCell ref="A58:E58"/>
    <mergeCell ref="A59:E59"/>
    <mergeCell ref="A60:B60"/>
    <mergeCell ref="A61:B61"/>
    <mergeCell ref="A54:G54"/>
    <mergeCell ref="B55:C55"/>
    <mergeCell ref="D55:E55"/>
    <mergeCell ref="F55:G55"/>
    <mergeCell ref="B56:C56"/>
    <mergeCell ref="D56:E56"/>
    <mergeCell ref="F56:G56"/>
  </mergeCells>
  <pageMargins left="0.25" right="0.25" top="0.75" bottom="0.75" header="0.3" footer="0.3"/>
  <pageSetup paperSize="9" scale="77"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07"/>
  <sheetViews>
    <sheetView view="pageBreakPreview" topLeftCell="A18" zoomScaleSheetLayoutView="100" workbookViewId="0">
      <selection activeCell="B41" sqref="B41"/>
    </sheetView>
  </sheetViews>
  <sheetFormatPr baseColWidth="10" defaultColWidth="8.83203125" defaultRowHeight="15"/>
  <cols>
    <col min="1" max="1" width="13.33203125" customWidth="1"/>
    <col min="2" max="3" width="11.33203125" customWidth="1"/>
    <col min="4" max="6" width="9.83203125" customWidth="1"/>
    <col min="7" max="7" width="12.6640625" customWidth="1"/>
    <col min="8" max="8" width="12.1640625" customWidth="1"/>
    <col min="9" max="9" width="9.6640625" customWidth="1"/>
    <col min="10" max="10" width="20" customWidth="1"/>
    <col min="11" max="11" width="9.6640625" bestFit="1" customWidth="1"/>
  </cols>
  <sheetData>
    <row r="1" spans="1:20" ht="30" customHeight="1" thickBot="1">
      <c r="A1" s="1994" t="s">
        <v>128</v>
      </c>
      <c r="B1" s="1995"/>
      <c r="C1" s="1995"/>
      <c r="D1" s="1995"/>
      <c r="E1" s="1995"/>
      <c r="F1" s="1995"/>
      <c r="G1" s="1995"/>
      <c r="H1" s="1996"/>
      <c r="I1" s="2007"/>
      <c r="J1" s="2008"/>
    </row>
    <row r="2" spans="1:20" s="38" customFormat="1" ht="12" customHeight="1" thickBot="1">
      <c r="A2" s="2006"/>
      <c r="B2" s="2006"/>
      <c r="C2" s="2006"/>
      <c r="D2" s="2006"/>
      <c r="E2" s="2006"/>
      <c r="F2" s="2006"/>
      <c r="G2" s="2006"/>
      <c r="H2" s="2006"/>
      <c r="I2" s="2006"/>
      <c r="J2" s="2006"/>
      <c r="K2" s="27"/>
      <c r="L2" s="27"/>
      <c r="M2" s="27"/>
    </row>
    <row r="3" spans="1:20" s="38" customFormat="1" ht="26" customHeight="1" thickBot="1">
      <c r="A3" s="1184" t="s">
        <v>483</v>
      </c>
      <c r="B3" s="1185"/>
      <c r="C3" s="1185"/>
      <c r="D3" s="1185"/>
      <c r="E3" s="1185"/>
      <c r="F3" s="1185"/>
      <c r="G3" s="1185"/>
      <c r="H3" s="1243"/>
      <c r="I3" s="2009"/>
      <c r="J3" s="1605"/>
      <c r="K3" s="27"/>
    </row>
    <row r="4" spans="1:20" ht="21" customHeight="1" thickBot="1">
      <c r="A4" s="97"/>
      <c r="B4" s="2019" t="s">
        <v>37</v>
      </c>
      <c r="C4" s="2020"/>
      <c r="D4" s="2020"/>
      <c r="E4" s="2020"/>
      <c r="F4" s="2020"/>
      <c r="G4" s="2020"/>
      <c r="H4" s="2021"/>
      <c r="I4" s="2009"/>
      <c r="J4" s="1605"/>
      <c r="K4" s="2"/>
    </row>
    <row r="5" spans="1:20" ht="15" customHeight="1">
      <c r="A5" s="1989"/>
      <c r="B5" s="1510" t="s">
        <v>34</v>
      </c>
      <c r="C5" s="1439"/>
      <c r="D5" s="1510" t="s">
        <v>105</v>
      </c>
      <c r="E5" s="1439"/>
      <c r="F5" s="1510" t="s">
        <v>106</v>
      </c>
      <c r="G5" s="1439"/>
      <c r="H5" s="1991" t="s">
        <v>107</v>
      </c>
      <c r="I5" s="2009"/>
      <c r="J5" s="1605"/>
      <c r="K5" s="2"/>
    </row>
    <row r="6" spans="1:20" ht="33.75" customHeight="1" thickBot="1">
      <c r="A6" s="1990"/>
      <c r="B6" s="1515"/>
      <c r="C6" s="1517"/>
      <c r="D6" s="1515"/>
      <c r="E6" s="1517"/>
      <c r="F6" s="1515"/>
      <c r="G6" s="1517"/>
      <c r="H6" s="1992"/>
      <c r="I6" s="2009"/>
      <c r="J6" s="1605"/>
      <c r="K6" s="2"/>
    </row>
    <row r="7" spans="1:20" ht="17" customHeight="1">
      <c r="A7" s="98" t="s">
        <v>35</v>
      </c>
      <c r="B7" s="2013">
        <v>94.65</v>
      </c>
      <c r="C7" s="2014"/>
      <c r="D7" s="2013">
        <v>63.1</v>
      </c>
      <c r="E7" s="2014"/>
      <c r="F7" s="1997">
        <v>31.55</v>
      </c>
      <c r="G7" s="1997"/>
      <c r="H7" s="140">
        <v>0</v>
      </c>
      <c r="I7" s="2009"/>
      <c r="J7" s="1605"/>
      <c r="K7" s="2"/>
    </row>
    <row r="8" spans="1:20" ht="17" customHeight="1" thickBot="1">
      <c r="A8" s="99" t="s">
        <v>36</v>
      </c>
      <c r="B8" s="1998">
        <v>189.35</v>
      </c>
      <c r="C8" s="1999"/>
      <c r="D8" s="2015">
        <v>126.25</v>
      </c>
      <c r="E8" s="2016"/>
      <c r="F8" s="1993">
        <v>63.1</v>
      </c>
      <c r="G8" s="1993"/>
      <c r="H8" s="141">
        <v>0</v>
      </c>
      <c r="I8" s="2009"/>
      <c r="J8" s="1605"/>
      <c r="K8" s="2"/>
    </row>
    <row r="9" spans="1:20" ht="17" customHeight="1" thickBot="1">
      <c r="A9" s="100" t="s">
        <v>22</v>
      </c>
      <c r="B9" s="2000">
        <f>SUM(B7:C8)</f>
        <v>284</v>
      </c>
      <c r="C9" s="2000"/>
      <c r="D9" s="2017">
        <f>SUM(D7:E8)</f>
        <v>189.35</v>
      </c>
      <c r="E9" s="2018"/>
      <c r="F9" s="2000">
        <f>SUM(F7:G8)</f>
        <v>94.65</v>
      </c>
      <c r="G9" s="2000"/>
      <c r="H9" s="142">
        <f>SUM(H7:I8)</f>
        <v>0</v>
      </c>
      <c r="I9" s="2009"/>
      <c r="J9" s="1605"/>
      <c r="K9" s="143"/>
    </row>
    <row r="10" spans="1:20" ht="17" customHeight="1">
      <c r="A10" s="2010" t="s">
        <v>294</v>
      </c>
      <c r="B10" s="2010"/>
      <c r="C10" s="2010"/>
      <c r="D10" s="2010"/>
      <c r="E10" s="2010"/>
      <c r="F10" s="2010"/>
      <c r="G10" s="2010"/>
      <c r="H10" s="2010"/>
      <c r="I10" s="2012"/>
      <c r="J10" s="2012"/>
      <c r="K10" s="6"/>
      <c r="L10" s="2"/>
      <c r="M10" s="143"/>
    </row>
    <row r="11" spans="1:20" ht="16" customHeight="1" thickBot="1">
      <c r="A11" s="2011"/>
      <c r="B11" s="2011"/>
      <c r="C11" s="2011"/>
      <c r="D11" s="2011"/>
      <c r="E11" s="2011"/>
      <c r="F11" s="2011"/>
      <c r="G11" s="2011"/>
      <c r="H11" s="2011"/>
      <c r="I11" s="2011"/>
      <c r="J11" s="2011"/>
      <c r="K11" s="2"/>
      <c r="L11" s="2"/>
      <c r="M11" s="2"/>
    </row>
    <row r="12" spans="1:20" s="2" customFormat="1" ht="26" customHeight="1" thickBot="1">
      <c r="A12" s="1974" t="s">
        <v>67</v>
      </c>
      <c r="B12" s="1975"/>
      <c r="C12" s="1975"/>
      <c r="D12" s="1975"/>
      <c r="E12" s="1975"/>
      <c r="F12" s="1975"/>
      <c r="G12" s="1975"/>
      <c r="H12" s="1976"/>
      <c r="M12" s="16"/>
      <c r="N12" s="16"/>
      <c r="O12" s="16"/>
      <c r="P12" s="16"/>
      <c r="Q12" s="16"/>
      <c r="R12" s="16"/>
      <c r="S12" s="16"/>
      <c r="T12" s="16"/>
    </row>
    <row r="13" spans="1:20" s="2" customFormat="1" ht="21" customHeight="1" thickBot="1">
      <c r="A13" s="2001" t="s">
        <v>228</v>
      </c>
      <c r="B13" s="2002"/>
      <c r="C13" s="2002"/>
      <c r="D13" s="2002"/>
      <c r="E13" s="2002"/>
      <c r="F13" s="2002"/>
      <c r="G13" s="2003"/>
      <c r="H13" s="114" t="s">
        <v>66</v>
      </c>
      <c r="M13" s="16"/>
      <c r="N13" s="16"/>
      <c r="O13" s="16"/>
      <c r="P13" s="16"/>
      <c r="Q13" s="16"/>
      <c r="R13" s="16"/>
      <c r="S13" s="16"/>
      <c r="T13" s="16"/>
    </row>
    <row r="14" spans="1:20" s="2" customFormat="1" ht="17" customHeight="1" thickBot="1">
      <c r="A14" s="2030" t="s">
        <v>68</v>
      </c>
      <c r="B14" s="2031"/>
      <c r="C14" s="2031"/>
      <c r="D14" s="2031"/>
      <c r="E14" s="2031"/>
      <c r="F14" s="2031"/>
      <c r="G14" s="2032"/>
      <c r="H14" s="115">
        <v>108.35</v>
      </c>
      <c r="M14" s="16"/>
      <c r="N14" s="16"/>
      <c r="O14" s="16"/>
      <c r="P14" s="16"/>
      <c r="Q14" s="16"/>
      <c r="R14" s="16"/>
      <c r="S14" s="16"/>
      <c r="T14" s="16"/>
    </row>
    <row r="15" spans="1:20" s="2" customFormat="1" ht="21" customHeight="1" thickBot="1">
      <c r="A15" s="2033" t="s">
        <v>507</v>
      </c>
      <c r="B15" s="2034"/>
      <c r="C15" s="2034"/>
      <c r="D15" s="2034"/>
      <c r="E15" s="2034"/>
      <c r="F15" s="2034"/>
      <c r="G15" s="2035"/>
      <c r="H15" s="116" t="s">
        <v>92</v>
      </c>
      <c r="M15" s="16"/>
      <c r="N15" s="16"/>
      <c r="O15" s="16"/>
      <c r="P15" s="16"/>
      <c r="Q15" s="16"/>
      <c r="R15" s="16"/>
      <c r="S15" s="16"/>
      <c r="T15" s="16"/>
    </row>
    <row r="16" spans="1:20" s="2" customFormat="1" ht="16" customHeight="1">
      <c r="A16" s="2036" t="s">
        <v>186</v>
      </c>
      <c r="B16" s="2037"/>
      <c r="C16" s="2037"/>
      <c r="D16" s="2037"/>
      <c r="E16" s="2037"/>
      <c r="F16" s="2037"/>
      <c r="G16" s="2038"/>
      <c r="H16" s="2042">
        <v>176.5</v>
      </c>
      <c r="M16" s="16"/>
      <c r="N16" s="16"/>
      <c r="O16" s="16"/>
      <c r="P16" s="16"/>
      <c r="Q16" s="16"/>
      <c r="R16" s="16"/>
      <c r="S16" s="16"/>
      <c r="T16" s="16"/>
    </row>
    <row r="17" spans="1:20" s="2" customFormat="1" ht="16" customHeight="1" thickBot="1">
      <c r="A17" s="2039"/>
      <c r="B17" s="2040"/>
      <c r="C17" s="2040"/>
      <c r="D17" s="2040"/>
      <c r="E17" s="2040"/>
      <c r="F17" s="2040"/>
      <c r="G17" s="2041"/>
      <c r="H17" s="2043"/>
      <c r="M17" s="16"/>
      <c r="N17" s="16"/>
      <c r="O17" s="16"/>
      <c r="P17" s="16"/>
      <c r="Q17" s="16"/>
      <c r="R17" s="16"/>
      <c r="S17" s="16"/>
      <c r="T17" s="16"/>
    </row>
    <row r="18" spans="1:20" s="2" customFormat="1" ht="16" customHeight="1" thickBot="1">
      <c r="A18" s="20"/>
      <c r="B18" s="20"/>
      <c r="C18" s="20"/>
      <c r="D18" s="20"/>
      <c r="E18" s="20"/>
      <c r="F18" s="20"/>
      <c r="G18" s="20"/>
      <c r="H18" s="20"/>
      <c r="M18" s="16"/>
      <c r="N18" s="16"/>
      <c r="O18" s="16"/>
      <c r="P18" s="16"/>
      <c r="Q18" s="16"/>
      <c r="R18" s="16"/>
      <c r="S18" s="16"/>
      <c r="T18" s="16"/>
    </row>
    <row r="19" spans="1:20" ht="26" customHeight="1" thickBot="1">
      <c r="A19" s="1184" t="s">
        <v>296</v>
      </c>
      <c r="B19" s="1185"/>
      <c r="C19" s="1185"/>
      <c r="D19" s="1185"/>
      <c r="E19" s="1185"/>
      <c r="F19" s="1185"/>
      <c r="G19" s="1185"/>
      <c r="H19" s="1243"/>
      <c r="I19" s="20"/>
      <c r="J19" s="20"/>
      <c r="K19" s="2"/>
      <c r="L19" s="2"/>
      <c r="M19" s="2"/>
    </row>
    <row r="20" spans="1:20" ht="24" customHeight="1">
      <c r="A20" s="2045" t="s">
        <v>38</v>
      </c>
      <c r="B20" s="1510" t="s">
        <v>42</v>
      </c>
      <c r="C20" s="1511"/>
      <c r="D20" s="1439"/>
      <c r="E20" s="1510" t="s">
        <v>42</v>
      </c>
      <c r="F20" s="1511"/>
      <c r="G20" s="1511"/>
      <c r="H20" s="1439"/>
      <c r="I20" s="45"/>
      <c r="J20" s="45"/>
      <c r="K20" s="45"/>
      <c r="L20" s="2"/>
      <c r="M20" s="2"/>
      <c r="N20" s="2"/>
    </row>
    <row r="21" spans="1:20" ht="16" thickBot="1">
      <c r="A21" s="1990"/>
      <c r="B21" s="2027">
        <v>40999</v>
      </c>
      <c r="C21" s="2028"/>
      <c r="D21" s="2029"/>
      <c r="E21" s="2027" t="str">
        <f>'Løntabel gældende fra'!$D$1</f>
        <v>01/04/2022</v>
      </c>
      <c r="F21" s="2028"/>
      <c r="G21" s="2028"/>
      <c r="H21" s="2029"/>
      <c r="I21" s="2026"/>
      <c r="J21" s="2026"/>
      <c r="K21" s="2026"/>
      <c r="L21" s="2"/>
      <c r="M21" s="2"/>
      <c r="N21" s="2"/>
    </row>
    <row r="22" spans="1:20" ht="17" customHeight="1">
      <c r="A22" s="93" t="s">
        <v>39</v>
      </c>
      <c r="B22" s="2051">
        <v>6000</v>
      </c>
      <c r="C22" s="2052"/>
      <c r="D22" s="2053"/>
      <c r="E22" s="2046">
        <f>ROUND(B22+B22*'Løntabel gældende fra'!$D$7%,2)</f>
        <v>6804.62</v>
      </c>
      <c r="F22" s="2046"/>
      <c r="G22" s="2046"/>
      <c r="H22" s="2047"/>
      <c r="I22" s="2026"/>
      <c r="J22" s="2026"/>
      <c r="K22" s="2026"/>
      <c r="L22" s="2"/>
      <c r="M22" s="2"/>
      <c r="N22" s="2"/>
    </row>
    <row r="23" spans="1:20" ht="17" customHeight="1">
      <c r="A23" s="94" t="s">
        <v>40</v>
      </c>
      <c r="B23" s="2054">
        <v>7600</v>
      </c>
      <c r="C23" s="2055"/>
      <c r="D23" s="2056"/>
      <c r="E23" s="2049">
        <f>ROUND(B23+B23*'Løntabel gældende fra'!$D$7%,2)</f>
        <v>8619.19</v>
      </c>
      <c r="F23" s="2049"/>
      <c r="G23" s="2049"/>
      <c r="H23" s="2050"/>
      <c r="I23" s="2048"/>
      <c r="J23" s="2048"/>
      <c r="K23" s="25"/>
      <c r="L23" s="2"/>
      <c r="M23" s="2"/>
      <c r="N23" s="2"/>
    </row>
    <row r="24" spans="1:20" ht="17" customHeight="1" thickBot="1">
      <c r="A24" s="95" t="s">
        <v>41</v>
      </c>
      <c r="B24" s="2059">
        <v>9000</v>
      </c>
      <c r="C24" s="2060"/>
      <c r="D24" s="2061"/>
      <c r="E24" s="2057">
        <f>ROUND(B24+B24*'Løntabel gældende fra'!$D$7%,2)</f>
        <v>10206.94</v>
      </c>
      <c r="F24" s="2057"/>
      <c r="G24" s="2057"/>
      <c r="H24" s="2058"/>
      <c r="I24" s="2044"/>
      <c r="J24" s="2044"/>
      <c r="K24" s="26"/>
      <c r="L24" s="2"/>
      <c r="M24" s="2"/>
      <c r="N24" s="2"/>
    </row>
    <row r="25" spans="1:20" ht="14" customHeight="1" thickBot="1">
      <c r="A25" s="2"/>
      <c r="B25" s="2"/>
      <c r="C25" s="2"/>
      <c r="D25" s="2"/>
      <c r="E25" s="2"/>
      <c r="F25" s="2"/>
      <c r="G25" s="2"/>
      <c r="H25" s="2"/>
      <c r="I25" s="2044"/>
      <c r="J25" s="2044"/>
      <c r="K25" s="26"/>
      <c r="L25" s="2"/>
      <c r="M25" s="2"/>
      <c r="N25" s="2"/>
    </row>
    <row r="26" spans="1:20" ht="26" customHeight="1" thickBot="1">
      <c r="A26" s="1184" t="s">
        <v>403</v>
      </c>
      <c r="B26" s="1185"/>
      <c r="C26" s="1185"/>
      <c r="D26" s="1185"/>
      <c r="E26" s="1185"/>
      <c r="F26" s="1185"/>
      <c r="G26" s="1185"/>
      <c r="H26" s="1243"/>
      <c r="I26" s="2"/>
      <c r="J26" s="2"/>
      <c r="K26" s="2"/>
      <c r="L26" s="2"/>
      <c r="M26" s="2"/>
    </row>
    <row r="27" spans="1:20" ht="18.75" customHeight="1" thickBot="1">
      <c r="A27" s="2079">
        <v>2022</v>
      </c>
      <c r="B27" s="2080"/>
      <c r="C27" s="2080"/>
      <c r="D27" s="2081"/>
      <c r="E27" s="1180" t="s">
        <v>133</v>
      </c>
      <c r="F27" s="1181"/>
      <c r="G27" s="1977" t="s">
        <v>134</v>
      </c>
      <c r="H27" s="1979"/>
      <c r="I27" s="219"/>
      <c r="J27" s="27"/>
      <c r="K27" s="27"/>
      <c r="L27" s="2"/>
      <c r="M27" s="2"/>
    </row>
    <row r="28" spans="1:20" ht="62" customHeight="1" thickBot="1">
      <c r="A28" s="2082"/>
      <c r="B28" s="2083"/>
      <c r="C28" s="2083"/>
      <c r="D28" s="2084"/>
      <c r="E28" s="597" t="s">
        <v>406</v>
      </c>
      <c r="F28" s="597" t="s">
        <v>329</v>
      </c>
      <c r="G28" s="565" t="s">
        <v>406</v>
      </c>
      <c r="H28" s="598" t="s">
        <v>329</v>
      </c>
      <c r="I28" s="633"/>
      <c r="J28" s="633"/>
      <c r="K28" s="28"/>
      <c r="L28" s="27"/>
      <c r="M28" s="2"/>
      <c r="N28" s="2"/>
    </row>
    <row r="29" spans="1:20" ht="17" customHeight="1">
      <c r="A29" s="1980" t="s">
        <v>135</v>
      </c>
      <c r="B29" s="1981"/>
      <c r="C29" s="1981"/>
      <c r="D29" s="632"/>
      <c r="E29" s="599">
        <v>463</v>
      </c>
      <c r="F29" s="215">
        <f t="shared" ref="F29:F34" si="0">ROUND(E29/24,2)</f>
        <v>19.29</v>
      </c>
      <c r="G29" s="288">
        <v>546</v>
      </c>
      <c r="H29" s="603">
        <f t="shared" ref="H29:H34" si="1">ROUND(G29/24,2)</f>
        <v>22.75</v>
      </c>
      <c r="I29" s="633"/>
      <c r="J29" s="633"/>
      <c r="K29" s="28"/>
      <c r="L29" s="27"/>
      <c r="M29" s="2"/>
      <c r="N29" s="2"/>
    </row>
    <row r="30" spans="1:20" ht="17" customHeight="1">
      <c r="A30" s="2077" t="s">
        <v>332</v>
      </c>
      <c r="B30" s="2078"/>
      <c r="C30" s="2078"/>
      <c r="D30" s="631"/>
      <c r="E30" s="600">
        <f>(E29*15)/100</f>
        <v>69.45</v>
      </c>
      <c r="F30" s="216">
        <f t="shared" si="0"/>
        <v>2.89</v>
      </c>
      <c r="G30" s="289">
        <f>(G29*15)/100</f>
        <v>81.900000000000006</v>
      </c>
      <c r="H30" s="604">
        <f t="shared" si="1"/>
        <v>3.41</v>
      </c>
      <c r="I30" s="214"/>
      <c r="K30" s="52"/>
      <c r="L30" s="27"/>
      <c r="M30" s="2"/>
      <c r="N30" s="2"/>
    </row>
    <row r="31" spans="1:20" ht="17" customHeight="1">
      <c r="A31" s="2077" t="s">
        <v>333</v>
      </c>
      <c r="B31" s="2078"/>
      <c r="C31" s="2078"/>
      <c r="D31" s="631"/>
      <c r="E31" s="600">
        <f>(E29*30)/100</f>
        <v>138.9</v>
      </c>
      <c r="F31" s="216">
        <f t="shared" si="0"/>
        <v>5.79</v>
      </c>
      <c r="G31" s="290">
        <f>(G29*30)/100</f>
        <v>163.80000000000001</v>
      </c>
      <c r="H31" s="604">
        <f t="shared" si="1"/>
        <v>6.83</v>
      </c>
      <c r="I31" s="214"/>
      <c r="K31" s="53"/>
      <c r="L31" s="292"/>
      <c r="M31" s="2"/>
      <c r="N31" s="2"/>
    </row>
    <row r="32" spans="1:20" ht="17" customHeight="1">
      <c r="A32" s="2077" t="s">
        <v>334</v>
      </c>
      <c r="B32" s="2078"/>
      <c r="C32" s="2078"/>
      <c r="D32" s="631"/>
      <c r="E32" s="600">
        <f>(E29*30)/100</f>
        <v>138.9</v>
      </c>
      <c r="F32" s="216">
        <f t="shared" si="0"/>
        <v>5.79</v>
      </c>
      <c r="G32" s="291">
        <f>(G29*30)/100</f>
        <v>163.80000000000001</v>
      </c>
      <c r="H32" s="604">
        <f t="shared" si="1"/>
        <v>6.83</v>
      </c>
      <c r="I32" s="214"/>
      <c r="K32" s="54"/>
      <c r="L32" s="27"/>
      <c r="M32" s="2"/>
      <c r="N32" s="2"/>
    </row>
    <row r="33" spans="1:14" ht="17" customHeight="1">
      <c r="A33" s="2077" t="s">
        <v>335</v>
      </c>
      <c r="B33" s="2078"/>
      <c r="C33" s="2078"/>
      <c r="D33" s="631"/>
      <c r="E33" s="600">
        <f>(E29*75)/100</f>
        <v>347.25</v>
      </c>
      <c r="F33" s="216">
        <f t="shared" si="0"/>
        <v>14.47</v>
      </c>
      <c r="G33" s="290">
        <f>(G29*75)/100</f>
        <v>409.5</v>
      </c>
      <c r="H33" s="604">
        <f t="shared" si="1"/>
        <v>17.059999999999999</v>
      </c>
      <c r="I33" s="214"/>
      <c r="K33" s="55"/>
      <c r="L33" s="27"/>
      <c r="M33" s="2"/>
      <c r="N33" s="2"/>
    </row>
    <row r="34" spans="1:14" ht="17" customHeight="1" thickBot="1">
      <c r="A34" s="2092" t="s">
        <v>58</v>
      </c>
      <c r="B34" s="2093"/>
      <c r="C34" s="2093"/>
      <c r="D34" s="634"/>
      <c r="E34" s="601">
        <f>E29-E33</f>
        <v>115.75</v>
      </c>
      <c r="F34" s="217">
        <f t="shared" si="0"/>
        <v>4.82</v>
      </c>
      <c r="G34" s="496">
        <f>G29-G33</f>
        <v>136.5</v>
      </c>
      <c r="H34" s="605">
        <f t="shared" si="1"/>
        <v>5.69</v>
      </c>
      <c r="I34" s="214"/>
      <c r="K34" s="55"/>
      <c r="L34" s="27"/>
      <c r="M34" s="2"/>
      <c r="N34" s="2"/>
    </row>
    <row r="35" spans="1:14" ht="17" customHeight="1" thickBot="1">
      <c r="A35" s="82"/>
      <c r="B35" s="82"/>
      <c r="C35" s="82"/>
      <c r="D35" s="102"/>
      <c r="E35" s="102"/>
      <c r="F35" s="102"/>
      <c r="G35" s="602"/>
      <c r="H35" s="214"/>
      <c r="I35" s="214"/>
      <c r="K35" s="55"/>
      <c r="L35" s="27"/>
      <c r="M35" s="2"/>
      <c r="N35" s="2"/>
    </row>
    <row r="36" spans="1:14" ht="26" customHeight="1" thickBot="1">
      <c r="A36" s="1184" t="s">
        <v>59</v>
      </c>
      <c r="B36" s="1185"/>
      <c r="C36" s="1185"/>
      <c r="D36" s="1185"/>
      <c r="E36" s="1185"/>
      <c r="F36" s="1185"/>
      <c r="G36" s="1185"/>
      <c r="H36" s="1243"/>
      <c r="J36" s="27"/>
      <c r="K36" s="27"/>
      <c r="L36" s="2"/>
      <c r="M36" s="2"/>
    </row>
    <row r="37" spans="1:14" ht="24" customHeight="1">
      <c r="A37" s="1986" t="s">
        <v>537</v>
      </c>
      <c r="B37" s="1987"/>
      <c r="C37" s="1987"/>
      <c r="D37" s="1987"/>
      <c r="E37" s="1987"/>
      <c r="F37" s="1987"/>
      <c r="G37" s="1988"/>
      <c r="H37" s="117" t="s">
        <v>66</v>
      </c>
      <c r="I37" s="630"/>
      <c r="J37" s="630"/>
      <c r="K37" s="2"/>
      <c r="L37" s="2"/>
      <c r="M37" s="2"/>
    </row>
    <row r="38" spans="1:14" ht="17.25" customHeight="1">
      <c r="A38" s="2094" t="s">
        <v>132</v>
      </c>
      <c r="B38" s="2095"/>
      <c r="C38" s="2095"/>
      <c r="D38" s="2095"/>
      <c r="E38" s="566"/>
      <c r="F38" s="566"/>
      <c r="G38" s="635"/>
      <c r="H38" s="118">
        <v>2.17</v>
      </c>
      <c r="I38" s="629"/>
      <c r="J38" s="630"/>
      <c r="K38" s="630"/>
      <c r="L38" s="2"/>
      <c r="M38" s="2"/>
      <c r="N38" s="2"/>
    </row>
    <row r="39" spans="1:14" ht="17" customHeight="1" thickBot="1">
      <c r="A39" s="2096" t="s">
        <v>542</v>
      </c>
      <c r="B39" s="2097"/>
      <c r="C39" s="2097"/>
      <c r="D39" s="2097"/>
      <c r="E39" s="567"/>
      <c r="F39" s="567"/>
      <c r="G39" s="636"/>
      <c r="H39" s="119">
        <v>3.7</v>
      </c>
      <c r="I39" s="629"/>
      <c r="J39" s="630"/>
      <c r="K39" s="630"/>
      <c r="L39" s="2"/>
      <c r="M39" s="2"/>
      <c r="N39" s="2"/>
    </row>
    <row r="40" spans="1:14" ht="17" customHeight="1">
      <c r="A40" s="2022" t="s">
        <v>540</v>
      </c>
      <c r="B40" s="2022"/>
      <c r="C40" s="2022"/>
      <c r="D40" s="2022"/>
      <c r="E40" s="568"/>
      <c r="F40" s="568"/>
      <c r="G40" s="47"/>
      <c r="H40" s="628"/>
      <c r="I40" s="628"/>
      <c r="J40" s="628"/>
      <c r="K40" s="628"/>
    </row>
    <row r="41" spans="1:14" ht="18" customHeight="1" thickBot="1">
      <c r="A41" s="765"/>
      <c r="B41" s="765"/>
      <c r="C41" s="765"/>
      <c r="D41" s="765"/>
      <c r="E41" s="765"/>
      <c r="F41" s="765"/>
      <c r="G41" s="765"/>
      <c r="H41" s="765"/>
      <c r="I41" s="628"/>
      <c r="J41" s="628"/>
    </row>
    <row r="42" spans="1:14" ht="26" customHeight="1" thickBot="1">
      <c r="A42" s="1184" t="s">
        <v>63</v>
      </c>
      <c r="B42" s="1185"/>
      <c r="C42" s="1185"/>
      <c r="D42" s="1185"/>
      <c r="E42" s="1185"/>
      <c r="F42" s="1185"/>
      <c r="G42" s="1185"/>
      <c r="H42" s="1243"/>
      <c r="I42" s="765"/>
      <c r="J42" s="765"/>
    </row>
    <row r="43" spans="1:14" ht="24" customHeight="1" thickBot="1">
      <c r="A43" s="1977">
        <v>2022</v>
      </c>
      <c r="B43" s="1978"/>
      <c r="C43" s="1978"/>
      <c r="D43" s="1978"/>
      <c r="E43" s="1978"/>
      <c r="F43" s="1978"/>
      <c r="G43" s="1979"/>
      <c r="H43" s="101" t="s">
        <v>66</v>
      </c>
    </row>
    <row r="44" spans="1:14" ht="19" customHeight="1">
      <c r="A44" s="1980" t="s">
        <v>64</v>
      </c>
      <c r="B44" s="1981"/>
      <c r="C44" s="1981"/>
      <c r="D44" s="1981"/>
      <c r="E44" s="1981"/>
      <c r="F44" s="1981"/>
      <c r="G44" s="1982"/>
      <c r="H44" s="120">
        <v>893</v>
      </c>
    </row>
    <row r="45" spans="1:14" ht="17" customHeight="1" thickBot="1">
      <c r="A45" s="1983" t="s">
        <v>65</v>
      </c>
      <c r="B45" s="1984"/>
      <c r="C45" s="1984"/>
      <c r="D45" s="1984"/>
      <c r="E45" s="1984"/>
      <c r="F45" s="1984"/>
      <c r="G45" s="1985"/>
      <c r="H45" s="119">
        <v>596</v>
      </c>
      <c r="I45" s="911"/>
      <c r="J45" s="911"/>
      <c r="K45" s="911"/>
    </row>
    <row r="46" spans="1:14" ht="18" customHeight="1" thickBot="1">
      <c r="A46" s="2091"/>
      <c r="B46" s="2091"/>
      <c r="C46" s="2091"/>
      <c r="D46" s="2091"/>
      <c r="E46" s="2091"/>
      <c r="F46" s="2091"/>
      <c r="G46" s="2091"/>
      <c r="H46" s="2091"/>
      <c r="I46" s="911"/>
      <c r="J46" s="911"/>
    </row>
    <row r="47" spans="1:14" ht="26" customHeight="1" thickBot="1">
      <c r="A47" s="1184" t="s">
        <v>479</v>
      </c>
      <c r="B47" s="1185"/>
      <c r="C47" s="1185"/>
      <c r="D47" s="1185"/>
      <c r="E47" s="1185"/>
      <c r="F47" s="1185"/>
      <c r="G47" s="1185"/>
      <c r="H47" s="1243"/>
      <c r="I47" s="911"/>
      <c r="J47" s="911"/>
    </row>
    <row r="48" spans="1:14" ht="24" customHeight="1" thickBot="1">
      <c r="A48" s="1977">
        <v>2022</v>
      </c>
      <c r="B48" s="1978"/>
      <c r="C48" s="1978"/>
      <c r="D48" s="1978"/>
      <c r="E48" s="1978"/>
      <c r="F48" s="1978"/>
      <c r="G48" s="1979"/>
      <c r="H48" s="101" t="s">
        <v>66</v>
      </c>
    </row>
    <row r="49" spans="1:16" ht="19" customHeight="1">
      <c r="A49" s="1980" t="s">
        <v>478</v>
      </c>
      <c r="B49" s="1981"/>
      <c r="C49" s="1981"/>
      <c r="D49" s="1981"/>
      <c r="E49" s="1981"/>
      <c r="F49" s="1981"/>
      <c r="G49" s="1982"/>
      <c r="H49" s="120">
        <v>893</v>
      </c>
    </row>
    <row r="50" spans="1:16" ht="17" customHeight="1" thickBot="1">
      <c r="A50" s="1983" t="s">
        <v>480</v>
      </c>
      <c r="B50" s="1984"/>
      <c r="C50" s="1984"/>
      <c r="D50" s="1984"/>
      <c r="E50" s="1984"/>
      <c r="F50" s="1984"/>
      <c r="G50" s="1985"/>
      <c r="H50" s="119">
        <v>447</v>
      </c>
    </row>
    <row r="51" spans="1:16" ht="17" customHeight="1">
      <c r="A51" s="912"/>
      <c r="B51" s="912"/>
      <c r="C51" s="912"/>
      <c r="D51" s="912"/>
      <c r="E51" s="912"/>
      <c r="F51" s="912"/>
      <c r="G51" s="912"/>
      <c r="H51" s="912"/>
    </row>
    <row r="52" spans="1:16" s="38" customFormat="1" ht="12" customHeight="1" thickBot="1">
      <c r="A52" s="912"/>
      <c r="B52" s="912"/>
      <c r="C52" s="912"/>
      <c r="D52" s="912"/>
      <c r="E52" s="912"/>
      <c r="F52" s="912"/>
      <c r="G52" s="912"/>
      <c r="H52"/>
    </row>
    <row r="53" spans="1:16" ht="22" customHeight="1">
      <c r="A53" s="1171" t="s">
        <v>481</v>
      </c>
      <c r="B53" s="1172"/>
      <c r="C53" s="1172"/>
      <c r="D53" s="1172"/>
      <c r="E53" s="1172"/>
      <c r="F53" s="1172"/>
      <c r="G53" s="1172"/>
      <c r="H53" s="1173"/>
    </row>
    <row r="54" spans="1:16" ht="17" customHeight="1" thickBot="1">
      <c r="A54" s="1260" t="s">
        <v>312</v>
      </c>
      <c r="B54" s="1261"/>
      <c r="C54" s="1261"/>
      <c r="D54" s="1261"/>
      <c r="E54" s="1261"/>
      <c r="F54" s="1261"/>
      <c r="G54" s="1261"/>
      <c r="H54" s="1262"/>
      <c r="I54" s="765"/>
      <c r="J54" s="765"/>
    </row>
    <row r="55" spans="1:16" ht="17" customHeight="1">
      <c r="A55" s="708"/>
      <c r="B55" s="709"/>
      <c r="C55" s="709"/>
      <c r="D55" s="709"/>
      <c r="E55" s="709"/>
      <c r="F55" s="709"/>
      <c r="G55" s="711" t="s">
        <v>98</v>
      </c>
      <c r="H55" s="710" t="s">
        <v>103</v>
      </c>
      <c r="I55" s="628"/>
      <c r="J55" s="628"/>
      <c r="K55" s="628"/>
    </row>
    <row r="56" spans="1:16" ht="18" customHeight="1" thickBot="1">
      <c r="A56" s="706"/>
      <c r="B56" s="707"/>
      <c r="C56" s="707"/>
      <c r="D56" s="707"/>
      <c r="E56" s="707"/>
      <c r="F56" s="707"/>
      <c r="G56" s="595">
        <v>40999</v>
      </c>
      <c r="H56" s="612" t="str">
        <f>'Løntabel gældende fra'!$D$1</f>
        <v>01/04/2022</v>
      </c>
      <c r="I56" s="637"/>
      <c r="J56" s="637"/>
      <c r="K56" s="637"/>
    </row>
    <row r="57" spans="1:16" ht="17" customHeight="1">
      <c r="A57" s="2142" t="s">
        <v>222</v>
      </c>
      <c r="B57" s="2143"/>
      <c r="C57" s="2143"/>
      <c r="D57" s="2143"/>
      <c r="E57" s="2143"/>
      <c r="F57" s="1037" t="s">
        <v>165</v>
      </c>
      <c r="G57" s="171">
        <v>22.32</v>
      </c>
      <c r="H57" s="1038">
        <f>G57+G57*'Løntabel gældende fra'!$D$7%</f>
        <v>25.313201280000001</v>
      </c>
      <c r="I57" s="637"/>
      <c r="J57" s="637"/>
      <c r="K57" s="637"/>
    </row>
    <row r="58" spans="1:16" ht="17" customHeight="1">
      <c r="A58" s="2130" t="s">
        <v>505</v>
      </c>
      <c r="B58" s="2131"/>
      <c r="C58" s="2131"/>
      <c r="D58" s="2131"/>
      <c r="E58" s="2131"/>
      <c r="F58" s="2134" t="s">
        <v>165</v>
      </c>
      <c r="G58" s="2136">
        <v>39.92</v>
      </c>
      <c r="H58" s="2138">
        <f>G58+G58*'Løntabel gældende fra'!$D$7%</f>
        <v>45.273431680000002</v>
      </c>
      <c r="I58" s="2004"/>
      <c r="J58" s="2005"/>
      <c r="K58" s="2005"/>
      <c r="L58" s="2005"/>
      <c r="M58" s="2005"/>
      <c r="N58" s="2005"/>
      <c r="O58" s="2005"/>
      <c r="P58" s="2005"/>
    </row>
    <row r="59" spans="1:16" ht="45" customHeight="1">
      <c r="A59" s="2132"/>
      <c r="B59" s="2133"/>
      <c r="C59" s="2133"/>
      <c r="D59" s="2133"/>
      <c r="E59" s="2133"/>
      <c r="F59" s="2135"/>
      <c r="G59" s="2137"/>
      <c r="H59" s="2139"/>
      <c r="I59" s="2004"/>
      <c r="J59" s="2005"/>
      <c r="K59" s="2005"/>
      <c r="L59" s="2005"/>
      <c r="M59" s="2005"/>
      <c r="N59" s="2005"/>
      <c r="O59" s="2005"/>
      <c r="P59" s="2005"/>
    </row>
    <row r="60" spans="1:16" ht="17" customHeight="1">
      <c r="A60" s="2140" t="s">
        <v>240</v>
      </c>
      <c r="B60" s="2141"/>
      <c r="C60" s="2141"/>
      <c r="D60" s="2141"/>
      <c r="E60" s="2141"/>
      <c r="F60" s="1036" t="s">
        <v>165</v>
      </c>
      <c r="G60" s="193">
        <v>39.92</v>
      </c>
      <c r="H60" s="922">
        <f>G60+G60*'Løntabel gældende fra'!$D$7%</f>
        <v>45.273431680000002</v>
      </c>
      <c r="I60" s="2004"/>
      <c r="J60" s="2005"/>
      <c r="K60" s="2005"/>
      <c r="L60" s="2005"/>
      <c r="M60" s="2005"/>
      <c r="N60" s="2005"/>
      <c r="O60" s="2005"/>
      <c r="P60" s="2005"/>
    </row>
    <row r="61" spans="1:16" ht="17" customHeight="1">
      <c r="A61" s="2126" t="s">
        <v>164</v>
      </c>
      <c r="B61" s="2127"/>
      <c r="C61" s="2127"/>
      <c r="D61" s="2127"/>
      <c r="E61" s="2127"/>
      <c r="F61" s="924" t="s">
        <v>165</v>
      </c>
      <c r="G61" s="193">
        <v>39.92</v>
      </c>
      <c r="H61" s="922">
        <f>G61+G61*'Løntabel gældende fra'!$D$7%</f>
        <v>45.273431680000002</v>
      </c>
      <c r="I61" s="2004"/>
      <c r="J61" s="2005"/>
      <c r="K61" s="2005"/>
      <c r="L61" s="2005"/>
      <c r="M61" s="2005"/>
      <c r="N61" s="2005"/>
      <c r="O61" s="2005"/>
      <c r="P61" s="2005"/>
    </row>
    <row r="62" spans="1:16" ht="17" customHeight="1">
      <c r="A62" s="2126" t="s">
        <v>504</v>
      </c>
      <c r="B62" s="2127"/>
      <c r="C62" s="2127"/>
      <c r="D62" s="2127"/>
      <c r="E62" s="2127"/>
      <c r="F62" s="924" t="s">
        <v>165</v>
      </c>
      <c r="G62" s="193">
        <v>6.59</v>
      </c>
      <c r="H62" s="922">
        <f>G62+G62*'Løntabel gældende fra'!$D$7%</f>
        <v>7.4737453599999997</v>
      </c>
      <c r="I62" s="2004"/>
      <c r="J62" s="2005"/>
      <c r="K62" s="2005"/>
      <c r="L62" s="2005"/>
      <c r="M62" s="2005"/>
      <c r="N62" s="2005"/>
      <c r="O62" s="2005"/>
      <c r="P62" s="2005"/>
    </row>
    <row r="63" spans="1:16" ht="17" customHeight="1" thickBot="1">
      <c r="A63" s="2128" t="s">
        <v>423</v>
      </c>
      <c r="B63" s="2129"/>
      <c r="C63" s="2129"/>
      <c r="D63" s="2129"/>
      <c r="E63" s="2129"/>
      <c r="F63" s="925" t="s">
        <v>166</v>
      </c>
      <c r="G63" s="172">
        <v>61.22</v>
      </c>
      <c r="H63" s="923">
        <f>G63+G63*'Løntabel gældende fra'!$D$7%</f>
        <v>69.429846879999999</v>
      </c>
      <c r="I63" s="2004"/>
      <c r="J63" s="2005"/>
      <c r="K63" s="2005"/>
      <c r="L63" s="2005"/>
      <c r="M63" s="2005"/>
      <c r="N63" s="2005"/>
      <c r="O63" s="2005"/>
      <c r="P63" s="2005"/>
    </row>
    <row r="64" spans="1:16" ht="17" customHeight="1" thickBot="1">
      <c r="A64" s="911"/>
      <c r="B64" s="911"/>
      <c r="C64" s="911"/>
      <c r="D64" s="911"/>
      <c r="E64" s="911"/>
      <c r="F64" s="911"/>
      <c r="G64" s="911"/>
      <c r="H64" s="911"/>
      <c r="I64" s="2004"/>
      <c r="J64" s="2005"/>
      <c r="K64" s="2005"/>
      <c r="L64" s="2005"/>
      <c r="M64" s="2005"/>
      <c r="N64" s="2005"/>
      <c r="O64" s="2005"/>
      <c r="P64" s="2005"/>
    </row>
    <row r="65" spans="1:16" ht="17" customHeight="1">
      <c r="A65" s="1306" t="s">
        <v>189</v>
      </c>
      <c r="B65" s="1307"/>
      <c r="C65" s="1307"/>
      <c r="D65" s="1307"/>
      <c r="E65" s="1307"/>
      <c r="F65" s="1307"/>
      <c r="G65" s="1307"/>
      <c r="H65" s="1308"/>
      <c r="I65" s="2004"/>
      <c r="J65" s="2005"/>
      <c r="K65" s="2005"/>
      <c r="L65" s="2005"/>
      <c r="M65" s="2005"/>
      <c r="N65" s="2005"/>
      <c r="O65" s="2005"/>
      <c r="P65" s="2005"/>
    </row>
    <row r="66" spans="1:16" ht="17" customHeight="1" thickBot="1">
      <c r="A66" s="2023" t="s">
        <v>328</v>
      </c>
      <c r="B66" s="2024"/>
      <c r="C66" s="2024"/>
      <c r="D66" s="2024"/>
      <c r="E66" s="2024"/>
      <c r="F66" s="2024"/>
      <c r="G66" s="2024"/>
      <c r="H66" s="2025"/>
      <c r="I66" s="2004"/>
      <c r="J66" s="2005"/>
      <c r="K66" s="2005"/>
      <c r="L66" s="2005"/>
      <c r="M66" s="2005"/>
      <c r="N66" s="2005"/>
      <c r="O66" s="2005"/>
      <c r="P66" s="2005"/>
    </row>
    <row r="67" spans="1:16" ht="17" customHeight="1">
      <c r="A67" s="2085" t="s">
        <v>27</v>
      </c>
      <c r="B67" s="2086"/>
      <c r="C67" s="2086"/>
      <c r="D67" s="2087"/>
      <c r="E67" s="2085" t="s">
        <v>28</v>
      </c>
      <c r="F67" s="2086"/>
      <c r="G67" s="2086"/>
      <c r="H67" s="2087"/>
      <c r="I67" s="2004"/>
      <c r="J67" s="2005"/>
      <c r="K67" s="2005"/>
      <c r="L67" s="2005"/>
      <c r="M67" s="2005"/>
      <c r="N67" s="2005"/>
      <c r="O67" s="2005"/>
      <c r="P67" s="2005"/>
    </row>
    <row r="68" spans="1:16" ht="17" customHeight="1">
      <c r="A68" s="2088">
        <v>40999</v>
      </c>
      <c r="B68" s="2089"/>
      <c r="C68" s="2089"/>
      <c r="D68" s="2090"/>
      <c r="E68" s="2101">
        <v>0</v>
      </c>
      <c r="F68" s="2102"/>
      <c r="G68" s="2102"/>
      <c r="H68" s="2103"/>
      <c r="I68" s="2004"/>
      <c r="J68" s="2005"/>
      <c r="K68" s="2005"/>
      <c r="L68" s="2005"/>
      <c r="M68" s="2005"/>
      <c r="N68" s="2005"/>
      <c r="O68" s="2005"/>
      <c r="P68" s="2005"/>
    </row>
    <row r="69" spans="1:16" ht="17" customHeight="1">
      <c r="A69" s="2088">
        <v>41000</v>
      </c>
      <c r="B69" s="2089"/>
      <c r="C69" s="2089"/>
      <c r="D69" s="2090"/>
      <c r="E69" s="2101">
        <v>1.304</v>
      </c>
      <c r="F69" s="2102"/>
      <c r="G69" s="2102"/>
      <c r="H69" s="2103"/>
      <c r="I69" s="764"/>
      <c r="J69" s="764"/>
    </row>
    <row r="70" spans="1:16" ht="17" customHeight="1">
      <c r="A70" s="2088">
        <v>41365</v>
      </c>
      <c r="B70" s="2089"/>
      <c r="C70" s="2089"/>
      <c r="D70" s="2090"/>
      <c r="E70" s="2101">
        <v>1.304</v>
      </c>
      <c r="F70" s="2102"/>
      <c r="G70" s="2102"/>
      <c r="H70" s="2103"/>
      <c r="I70" s="770"/>
      <c r="J70" s="770"/>
    </row>
    <row r="71" spans="1:16" ht="17" customHeight="1">
      <c r="A71" s="2088">
        <v>41730</v>
      </c>
      <c r="B71" s="2089"/>
      <c r="C71" s="2089"/>
      <c r="D71" s="2090"/>
      <c r="E71" s="2101">
        <v>1.7161999999999999</v>
      </c>
      <c r="F71" s="2102"/>
      <c r="G71" s="2102"/>
      <c r="H71" s="2103"/>
      <c r="I71" s="771"/>
      <c r="J71" s="771"/>
    </row>
    <row r="72" spans="1:16" ht="17" customHeight="1">
      <c r="A72" s="2119">
        <v>42095</v>
      </c>
      <c r="B72" s="2120"/>
      <c r="C72" s="2120"/>
      <c r="D72" s="2121"/>
      <c r="E72" s="2101">
        <v>2.1745000000000001</v>
      </c>
      <c r="F72" s="2102"/>
      <c r="G72" s="2102"/>
      <c r="H72" s="2103"/>
      <c r="I72" s="772"/>
      <c r="J72" s="772"/>
    </row>
    <row r="73" spans="1:16" ht="17" customHeight="1">
      <c r="A73" s="2088">
        <v>42461</v>
      </c>
      <c r="B73" s="2089"/>
      <c r="C73" s="2089"/>
      <c r="D73" s="2090"/>
      <c r="E73" s="2101">
        <v>2.9882</v>
      </c>
      <c r="F73" s="2102"/>
      <c r="G73" s="2102"/>
      <c r="H73" s="2103"/>
      <c r="I73" s="772"/>
      <c r="J73" s="772"/>
    </row>
    <row r="74" spans="1:16" ht="17" customHeight="1">
      <c r="A74" s="2104">
        <v>42826</v>
      </c>
      <c r="B74" s="2105"/>
      <c r="C74" s="2105"/>
      <c r="D74" s="2106"/>
      <c r="E74" s="2101">
        <v>4.2446000000000002</v>
      </c>
      <c r="F74" s="2102"/>
      <c r="G74" s="2102"/>
      <c r="H74" s="2103"/>
      <c r="I74" s="772"/>
      <c r="J74" s="772"/>
    </row>
    <row r="75" spans="1:16" ht="17" customHeight="1">
      <c r="A75" s="2088">
        <v>43070</v>
      </c>
      <c r="B75" s="2089"/>
      <c r="C75" s="2089"/>
      <c r="D75" s="2090"/>
      <c r="E75" s="2101">
        <v>5.7702999999999998</v>
      </c>
      <c r="F75" s="2102"/>
      <c r="G75" s="2102"/>
      <c r="H75" s="2103"/>
      <c r="I75" s="772"/>
      <c r="J75" s="772"/>
    </row>
    <row r="76" spans="1:16" ht="17" customHeight="1">
      <c r="A76" s="2088">
        <v>43191</v>
      </c>
      <c r="B76" s="2089"/>
      <c r="C76" s="2089"/>
      <c r="D76" s="2090"/>
      <c r="E76" s="2101">
        <v>6.9683000000000002</v>
      </c>
      <c r="F76" s="2102"/>
      <c r="G76" s="2102"/>
      <c r="H76" s="2103"/>
      <c r="I76" s="772"/>
      <c r="J76" s="772"/>
    </row>
    <row r="77" spans="1:16" ht="17" customHeight="1">
      <c r="A77" s="2088">
        <v>43374</v>
      </c>
      <c r="B77" s="2089"/>
      <c r="C77" s="2089"/>
      <c r="D77" s="2090"/>
      <c r="E77" s="2101">
        <v>7.4972000000000003</v>
      </c>
      <c r="F77" s="2102"/>
      <c r="G77" s="2102"/>
      <c r="H77" s="2103"/>
      <c r="I77" s="773"/>
      <c r="J77" s="773"/>
    </row>
    <row r="78" spans="1:16" ht="17" customHeight="1">
      <c r="A78" s="2088">
        <v>43556</v>
      </c>
      <c r="B78" s="2089"/>
      <c r="C78" s="2089"/>
      <c r="D78" s="2090"/>
      <c r="E78" s="2101">
        <v>8.4910999999999994</v>
      </c>
      <c r="F78" s="2102"/>
      <c r="G78" s="2102"/>
      <c r="H78" s="2103"/>
      <c r="I78" s="771"/>
      <c r="J78" s="771"/>
    </row>
    <row r="79" spans="1:16" ht="17" customHeight="1">
      <c r="A79" s="2107">
        <v>43739</v>
      </c>
      <c r="B79" s="2108"/>
      <c r="C79" s="2108"/>
      <c r="D79" s="2109"/>
      <c r="E79" s="2110">
        <v>9.4007000000000005</v>
      </c>
      <c r="F79" s="2111"/>
      <c r="G79" s="2111"/>
      <c r="H79" s="2112"/>
      <c r="I79" s="771"/>
      <c r="J79" s="771"/>
    </row>
    <row r="80" spans="1:16" ht="17" customHeight="1">
      <c r="A80" s="2088">
        <v>43922</v>
      </c>
      <c r="B80" s="2089"/>
      <c r="C80" s="2089"/>
      <c r="D80" s="2090"/>
      <c r="E80" s="2101">
        <v>10.323600000000001</v>
      </c>
      <c r="F80" s="2102"/>
      <c r="G80" s="2102"/>
      <c r="H80" s="2103"/>
      <c r="I80" s="771"/>
      <c r="J80" s="771"/>
    </row>
    <row r="81" spans="1:10" ht="17" customHeight="1">
      <c r="A81" s="2113">
        <v>44228</v>
      </c>
      <c r="B81" s="2113"/>
      <c r="C81" s="2113"/>
      <c r="D81" s="2113"/>
      <c r="E81" s="2114">
        <v>10.2211</v>
      </c>
      <c r="F81" s="2115"/>
      <c r="G81" s="2115"/>
      <c r="H81" s="2115"/>
      <c r="I81" s="771"/>
      <c r="J81" s="771"/>
    </row>
    <row r="82" spans="1:10" ht="17" customHeight="1">
      <c r="A82" s="2113">
        <v>44287</v>
      </c>
      <c r="B82" s="2113"/>
      <c r="C82" s="2113"/>
      <c r="D82" s="2113"/>
      <c r="E82" s="2114">
        <v>11.1029</v>
      </c>
      <c r="F82" s="2115"/>
      <c r="G82" s="2115"/>
      <c r="H82" s="2115"/>
      <c r="I82" s="771"/>
      <c r="J82" s="771"/>
    </row>
    <row r="83" spans="1:10" ht="17" customHeight="1">
      <c r="A83" s="2113">
        <v>44470</v>
      </c>
      <c r="B83" s="2113"/>
      <c r="C83" s="2113"/>
      <c r="D83" s="2113"/>
      <c r="E83" s="2123">
        <v>11.4336</v>
      </c>
      <c r="F83" s="2124"/>
      <c r="G83" s="2124"/>
      <c r="H83" s="2125"/>
      <c r="I83" s="771"/>
      <c r="J83" s="771"/>
    </row>
    <row r="84" spans="1:10" ht="17" customHeight="1" thickBot="1">
      <c r="A84" s="2122">
        <v>44652</v>
      </c>
      <c r="B84" s="2122"/>
      <c r="C84" s="2122"/>
      <c r="D84" s="2122"/>
      <c r="E84" s="2098">
        <v>13.410399999999999</v>
      </c>
      <c r="F84" s="2099"/>
      <c r="G84" s="2099"/>
      <c r="H84" s="2100"/>
      <c r="I84" s="772"/>
      <c r="J84" s="772"/>
    </row>
    <row r="85" spans="1:10" ht="25.5" customHeight="1" thickBot="1">
      <c r="A85" s="763"/>
      <c r="B85" s="763"/>
      <c r="C85" s="763"/>
      <c r="D85" s="763"/>
      <c r="E85" s="763"/>
      <c r="F85" s="763"/>
      <c r="G85" s="763"/>
      <c r="H85" s="763"/>
      <c r="I85" s="772"/>
      <c r="J85" s="772"/>
    </row>
    <row r="86" spans="1:10" ht="19" thickBot="1">
      <c r="A86" s="2116" t="s">
        <v>74</v>
      </c>
      <c r="B86" s="2117"/>
      <c r="C86" s="2117"/>
      <c r="D86" s="2117"/>
      <c r="E86" s="2117"/>
      <c r="F86" s="2117"/>
      <c r="G86" s="2117"/>
      <c r="H86" s="2118"/>
      <c r="I86" s="774"/>
      <c r="J86" s="774"/>
    </row>
    <row r="87" spans="1:10" ht="16" thickBot="1">
      <c r="A87" s="2062" t="s">
        <v>75</v>
      </c>
      <c r="B87" s="2063"/>
      <c r="C87" s="2063"/>
      <c r="D87" s="2063"/>
      <c r="E87" s="2063"/>
      <c r="F87" s="2063"/>
      <c r="G87" s="2063"/>
      <c r="H87" s="2064"/>
      <c r="I87" s="771"/>
      <c r="J87" s="771"/>
    </row>
    <row r="88" spans="1:10">
      <c r="A88" s="2068" t="s">
        <v>241</v>
      </c>
      <c r="B88" s="2069"/>
      <c r="C88" s="2069"/>
      <c r="D88" s="2069"/>
      <c r="E88" s="2069"/>
      <c r="F88" s="2069"/>
      <c r="G88" s="2069"/>
      <c r="H88" s="2070"/>
      <c r="I88" s="775"/>
      <c r="J88" s="775"/>
    </row>
    <row r="89" spans="1:10">
      <c r="A89" s="2071"/>
      <c r="B89" s="2072"/>
      <c r="C89" s="2072"/>
      <c r="D89" s="2072"/>
      <c r="E89" s="2072"/>
      <c r="F89" s="2072"/>
      <c r="G89" s="2072"/>
      <c r="H89" s="2073"/>
      <c r="I89" s="774"/>
      <c r="J89" s="774"/>
    </row>
    <row r="90" spans="1:10">
      <c r="A90" s="2071"/>
      <c r="B90" s="2072"/>
      <c r="C90" s="2072"/>
      <c r="D90" s="2072"/>
      <c r="E90" s="2072"/>
      <c r="F90" s="2072"/>
      <c r="G90" s="2072"/>
      <c r="H90" s="2073"/>
      <c r="I90" s="771"/>
      <c r="J90" s="771"/>
    </row>
    <row r="91" spans="1:10" ht="31.5" customHeight="1">
      <c r="A91" s="2071"/>
      <c r="B91" s="2072"/>
      <c r="C91" s="2072"/>
      <c r="D91" s="2072"/>
      <c r="E91" s="2072"/>
      <c r="F91" s="2072"/>
      <c r="G91" s="2072"/>
      <c r="H91" s="2073"/>
      <c r="I91" s="776"/>
      <c r="J91" s="775"/>
    </row>
    <row r="92" spans="1:10" ht="6" customHeight="1" thickBot="1">
      <c r="A92" s="2074"/>
      <c r="B92" s="2075"/>
      <c r="C92" s="2075"/>
      <c r="D92" s="2075"/>
      <c r="E92" s="2075"/>
      <c r="F92" s="2075"/>
      <c r="G92" s="2075"/>
      <c r="H92" s="2076"/>
      <c r="I92" s="777"/>
      <c r="J92" s="777"/>
    </row>
    <row r="93" spans="1:10" ht="16" thickBot="1">
      <c r="A93" s="766"/>
      <c r="B93" s="766"/>
      <c r="C93" s="766"/>
      <c r="D93" s="766"/>
      <c r="E93" s="766"/>
      <c r="F93" s="766"/>
      <c r="G93" s="766"/>
      <c r="H93" s="766"/>
      <c r="I93" s="771"/>
      <c r="J93" s="771"/>
    </row>
    <row r="94" spans="1:10" ht="20" customHeight="1" thickBot="1">
      <c r="A94" s="2062" t="s">
        <v>76</v>
      </c>
      <c r="B94" s="2063"/>
      <c r="C94" s="2063"/>
      <c r="D94" s="2063"/>
      <c r="E94" s="2063"/>
      <c r="F94" s="2063"/>
      <c r="G94" s="2063"/>
      <c r="H94" s="2064"/>
      <c r="I94" s="772"/>
      <c r="J94" s="772"/>
    </row>
    <row r="95" spans="1:10">
      <c r="A95" s="2068" t="s">
        <v>137</v>
      </c>
      <c r="B95" s="2069"/>
      <c r="C95" s="2069"/>
      <c r="D95" s="2069"/>
      <c r="E95" s="2069"/>
      <c r="F95" s="2069"/>
      <c r="G95" s="2069"/>
      <c r="H95" s="2070"/>
      <c r="I95" s="772"/>
      <c r="J95" s="772"/>
    </row>
    <row r="96" spans="1:10" ht="22" customHeight="1" thickBot="1">
      <c r="A96" s="2074"/>
      <c r="B96" s="2075"/>
      <c r="C96" s="2075"/>
      <c r="D96" s="2075"/>
      <c r="E96" s="2075"/>
      <c r="F96" s="2075"/>
      <c r="G96" s="2075"/>
      <c r="H96" s="2076"/>
      <c r="I96" s="772"/>
      <c r="J96" s="772"/>
    </row>
    <row r="97" spans="1:8" ht="16" thickBot="1">
      <c r="A97" s="767"/>
      <c r="B97" s="767"/>
      <c r="C97" s="767"/>
      <c r="D97" s="767"/>
      <c r="E97" s="767"/>
      <c r="F97" s="767"/>
      <c r="G97" s="767"/>
      <c r="H97" s="767"/>
    </row>
    <row r="98" spans="1:8" ht="16" thickBot="1">
      <c r="A98" s="2062" t="s">
        <v>77</v>
      </c>
      <c r="B98" s="2063"/>
      <c r="C98" s="2063"/>
      <c r="D98" s="2063"/>
      <c r="E98" s="2063"/>
      <c r="F98" s="2063"/>
      <c r="G98" s="2063"/>
      <c r="H98" s="2064"/>
    </row>
    <row r="99" spans="1:8" ht="16" thickBot="1">
      <c r="A99" s="286" t="s">
        <v>80</v>
      </c>
      <c r="B99" s="285"/>
      <c r="C99" s="285"/>
      <c r="D99" s="285"/>
      <c r="E99" s="285"/>
      <c r="F99" s="285"/>
      <c r="G99" s="285"/>
      <c r="H99" s="287"/>
    </row>
    <row r="100" spans="1:8" ht="16" thickBot="1">
      <c r="A100" s="767"/>
      <c r="B100" s="767"/>
      <c r="C100" s="767"/>
      <c r="D100" s="767"/>
      <c r="E100" s="767"/>
      <c r="F100" s="767"/>
      <c r="G100" s="767"/>
      <c r="H100" s="767"/>
    </row>
    <row r="101" spans="1:8" ht="16" thickBot="1">
      <c r="A101" s="2062" t="s">
        <v>78</v>
      </c>
      <c r="B101" s="2063"/>
      <c r="C101" s="2063"/>
      <c r="D101" s="2063"/>
      <c r="E101" s="2063"/>
      <c r="F101" s="2063"/>
      <c r="G101" s="2063"/>
      <c r="H101" s="2064"/>
    </row>
    <row r="102" spans="1:8" ht="16" thickBot="1">
      <c r="A102" s="2065" t="s">
        <v>81</v>
      </c>
      <c r="B102" s="2066"/>
      <c r="C102" s="2066"/>
      <c r="D102" s="2066"/>
      <c r="E102" s="2066"/>
      <c r="F102" s="2066"/>
      <c r="G102" s="2066"/>
      <c r="H102" s="2067"/>
    </row>
    <row r="103" spans="1:8" ht="16" thickBot="1"/>
    <row r="104" spans="1:8" ht="16" thickBot="1">
      <c r="A104" s="2062" t="s">
        <v>79</v>
      </c>
      <c r="B104" s="2063"/>
      <c r="C104" s="2063"/>
      <c r="D104" s="2063"/>
      <c r="E104" s="2063"/>
      <c r="F104" s="2063"/>
      <c r="G104" s="2063"/>
      <c r="H104" s="2064"/>
    </row>
    <row r="105" spans="1:8">
      <c r="A105" s="2068" t="s">
        <v>347</v>
      </c>
      <c r="B105" s="2069"/>
      <c r="C105" s="2069"/>
      <c r="D105" s="2069"/>
      <c r="E105" s="2069"/>
      <c r="F105" s="2069"/>
      <c r="G105" s="2069"/>
      <c r="H105" s="2070"/>
    </row>
    <row r="106" spans="1:8">
      <c r="A106" s="2071"/>
      <c r="B106" s="2072"/>
      <c r="C106" s="2072"/>
      <c r="D106" s="2072"/>
      <c r="E106" s="2072"/>
      <c r="F106" s="2072"/>
      <c r="G106" s="2072"/>
      <c r="H106" s="2073"/>
    </row>
    <row r="107" spans="1:8" ht="16" thickBot="1">
      <c r="A107" s="2074"/>
      <c r="B107" s="2075"/>
      <c r="C107" s="2075"/>
      <c r="D107" s="2075"/>
      <c r="E107" s="2075"/>
      <c r="F107" s="2075"/>
      <c r="G107" s="2075"/>
      <c r="H107" s="2076"/>
    </row>
  </sheetData>
  <sheetProtection sheet="1" objects="1" scenarios="1"/>
  <mergeCells count="130">
    <mergeCell ref="A62:E62"/>
    <mergeCell ref="A63:E63"/>
    <mergeCell ref="A53:H53"/>
    <mergeCell ref="A54:H54"/>
    <mergeCell ref="A58:E59"/>
    <mergeCell ref="F58:F59"/>
    <mergeCell ref="G58:G59"/>
    <mergeCell ref="H58:H59"/>
    <mergeCell ref="A60:E60"/>
    <mergeCell ref="A61:E61"/>
    <mergeCell ref="A57:E57"/>
    <mergeCell ref="A98:H98"/>
    <mergeCell ref="A88:H92"/>
    <mergeCell ref="A86:H86"/>
    <mergeCell ref="A87:H87"/>
    <mergeCell ref="A94:H94"/>
    <mergeCell ref="A95:H96"/>
    <mergeCell ref="A76:D76"/>
    <mergeCell ref="E76:H76"/>
    <mergeCell ref="A70:D70"/>
    <mergeCell ref="A71:D71"/>
    <mergeCell ref="A72:D72"/>
    <mergeCell ref="A84:D84"/>
    <mergeCell ref="A77:D77"/>
    <mergeCell ref="E77:H77"/>
    <mergeCell ref="A78:D78"/>
    <mergeCell ref="E78:H78"/>
    <mergeCell ref="A80:D80"/>
    <mergeCell ref="E80:H80"/>
    <mergeCell ref="A83:D83"/>
    <mergeCell ref="E83:H83"/>
    <mergeCell ref="E67:H67"/>
    <mergeCell ref="E84:H84"/>
    <mergeCell ref="A73:D73"/>
    <mergeCell ref="E73:H73"/>
    <mergeCell ref="A74:D74"/>
    <mergeCell ref="E74:H74"/>
    <mergeCell ref="E68:H68"/>
    <mergeCell ref="E69:H69"/>
    <mergeCell ref="E70:H70"/>
    <mergeCell ref="E71:H71"/>
    <mergeCell ref="E72:H72"/>
    <mergeCell ref="A75:D75"/>
    <mergeCell ref="E75:H75"/>
    <mergeCell ref="A79:D79"/>
    <mergeCell ref="E79:H79"/>
    <mergeCell ref="A81:D81"/>
    <mergeCell ref="E81:H81"/>
    <mergeCell ref="A82:D82"/>
    <mergeCell ref="E82:H82"/>
    <mergeCell ref="A101:H101"/>
    <mergeCell ref="A104:H104"/>
    <mergeCell ref="A102:H102"/>
    <mergeCell ref="A105:H107"/>
    <mergeCell ref="I25:J25"/>
    <mergeCell ref="A30:C30"/>
    <mergeCell ref="A29:C29"/>
    <mergeCell ref="E27:F27"/>
    <mergeCell ref="G27:H27"/>
    <mergeCell ref="A27:D28"/>
    <mergeCell ref="A33:C33"/>
    <mergeCell ref="A32:C32"/>
    <mergeCell ref="A31:C31"/>
    <mergeCell ref="A67:D67"/>
    <mergeCell ref="A68:D68"/>
    <mergeCell ref="A69:D69"/>
    <mergeCell ref="A46:H46"/>
    <mergeCell ref="A42:H42"/>
    <mergeCell ref="A43:G43"/>
    <mergeCell ref="A44:G44"/>
    <mergeCell ref="A45:G45"/>
    <mergeCell ref="A34:C34"/>
    <mergeCell ref="A38:D38"/>
    <mergeCell ref="A39:D39"/>
    <mergeCell ref="I24:J24"/>
    <mergeCell ref="A20:A21"/>
    <mergeCell ref="I21:J22"/>
    <mergeCell ref="E22:H22"/>
    <mergeCell ref="I23:J23"/>
    <mergeCell ref="B21:D21"/>
    <mergeCell ref="E23:H23"/>
    <mergeCell ref="B22:D22"/>
    <mergeCell ref="B23:D23"/>
    <mergeCell ref="E24:H24"/>
    <mergeCell ref="B24:D24"/>
    <mergeCell ref="I58:P68"/>
    <mergeCell ref="A2:J2"/>
    <mergeCell ref="I1:J1"/>
    <mergeCell ref="I3:J9"/>
    <mergeCell ref="A10:H10"/>
    <mergeCell ref="A11:J11"/>
    <mergeCell ref="I10:J10"/>
    <mergeCell ref="D5:E6"/>
    <mergeCell ref="D7:E7"/>
    <mergeCell ref="D8:E8"/>
    <mergeCell ref="D9:E9"/>
    <mergeCell ref="B4:H4"/>
    <mergeCell ref="F9:G9"/>
    <mergeCell ref="B7:C7"/>
    <mergeCell ref="A40:D40"/>
    <mergeCell ref="A65:H65"/>
    <mergeCell ref="A66:H66"/>
    <mergeCell ref="K21:K22"/>
    <mergeCell ref="E20:H20"/>
    <mergeCell ref="E21:H21"/>
    <mergeCell ref="A14:G14"/>
    <mergeCell ref="A15:G15"/>
    <mergeCell ref="A16:G17"/>
    <mergeCell ref="H16:H17"/>
    <mergeCell ref="A3:H3"/>
    <mergeCell ref="A1:H1"/>
    <mergeCell ref="F7:G7"/>
    <mergeCell ref="B8:C8"/>
    <mergeCell ref="B9:C9"/>
    <mergeCell ref="A19:H19"/>
    <mergeCell ref="B20:D20"/>
    <mergeCell ref="A12:H12"/>
    <mergeCell ref="A13:G13"/>
    <mergeCell ref="A47:H47"/>
    <mergeCell ref="A48:G48"/>
    <mergeCell ref="A49:G49"/>
    <mergeCell ref="A50:G50"/>
    <mergeCell ref="A36:H36"/>
    <mergeCell ref="A37:G37"/>
    <mergeCell ref="A5:A6"/>
    <mergeCell ref="B5:C6"/>
    <mergeCell ref="H5:H6"/>
    <mergeCell ref="F5:G6"/>
    <mergeCell ref="F8:G8"/>
    <mergeCell ref="A26:H26"/>
  </mergeCells>
  <phoneticPr fontId="6" type="noConversion"/>
  <pageMargins left="0.70866141732283472" right="0.70866141732283472" top="0.74803149606299213" bottom="0.74803149606299213" header="0.31496062992125984" footer="0.31496062992125984"/>
  <pageSetup paperSize="9" scale="90" fitToHeight="0" orientation="portrait" r:id="rId1"/>
  <headerFooter>
    <oddFooter>&amp;C&amp;"Times New Roman,Normal"&amp;8&amp;K000000Generelle satser&amp;R&amp;"Times New Roman,Normal"&amp;8&amp;K000000Side &amp;P af i alt &amp;N sider</oddFooter>
  </headerFooter>
  <rowBreaks count="2" manualBreakCount="2">
    <brk id="34" max="7" man="1"/>
    <brk id="63"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topLeftCell="A50" workbookViewId="0">
      <selection activeCell="Q101" sqref="Q101"/>
    </sheetView>
  </sheetViews>
  <sheetFormatPr baseColWidth="10" defaultColWidth="8.83203125" defaultRowHeight="15"/>
  <cols>
    <col min="1" max="1" width="8.83203125" style="13"/>
    <col min="2" max="2" width="8.83203125" style="126"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4" customWidth="1"/>
  </cols>
  <sheetData>
    <row r="1" spans="1:15" ht="40" customHeight="1" thickBot="1">
      <c r="A1" s="2149" t="str">
        <f>"Månedslønninger pr. "&amp;'Løntabel gældende fra'!D1&amp;" statens takster"</f>
        <v>Månedslønninger pr. 01/04/2022 statens takster</v>
      </c>
      <c r="B1" s="2150"/>
      <c r="C1" s="2150"/>
      <c r="D1" s="2150"/>
      <c r="E1" s="2150"/>
      <c r="F1" s="2150"/>
      <c r="G1" s="2150"/>
      <c r="H1" s="2150"/>
      <c r="I1" s="2150"/>
      <c r="J1" s="2150"/>
      <c r="K1" s="2150"/>
      <c r="L1" s="2150"/>
      <c r="M1" s="2150"/>
      <c r="N1" s="2150"/>
      <c r="O1" s="2151"/>
    </row>
    <row r="2" spans="1:15" ht="18" customHeight="1">
      <c r="A2" s="2152" t="s">
        <v>344</v>
      </c>
      <c r="B2" s="2153"/>
      <c r="C2" s="2153"/>
      <c r="D2" s="2153"/>
      <c r="E2" s="2153"/>
      <c r="F2" s="2153"/>
      <c r="G2" s="2153"/>
      <c r="H2" s="2153"/>
      <c r="I2" s="2153"/>
      <c r="J2" s="2153"/>
      <c r="K2" s="2153"/>
      <c r="L2" s="2153"/>
      <c r="M2" s="2153"/>
      <c r="N2" s="2153"/>
      <c r="O2" s="2154"/>
    </row>
    <row r="3" spans="1:15" ht="18" customHeight="1">
      <c r="A3" s="2155" t="s">
        <v>345</v>
      </c>
      <c r="B3" s="2156"/>
      <c r="C3" s="2156"/>
      <c r="D3" s="2156"/>
      <c r="E3" s="2156"/>
      <c r="F3" s="2156"/>
      <c r="G3" s="2156"/>
      <c r="H3" s="2156"/>
      <c r="I3" s="2156"/>
      <c r="J3" s="2156"/>
      <c r="K3" s="2156"/>
      <c r="L3" s="2156"/>
      <c r="M3" s="2156"/>
      <c r="N3" s="2156"/>
      <c r="O3" s="2157"/>
    </row>
    <row r="4" spans="1:15" ht="33.75" customHeight="1" thickBot="1">
      <c r="A4" s="2158"/>
      <c r="B4" s="2159"/>
      <c r="C4" s="2159"/>
      <c r="D4" s="2159"/>
      <c r="E4" s="2159"/>
      <c r="F4" s="2159"/>
      <c r="G4" s="2159"/>
      <c r="H4" s="2159"/>
      <c r="I4" s="2159"/>
      <c r="J4" s="2159"/>
      <c r="K4" s="2159"/>
      <c r="L4" s="2159"/>
      <c r="M4" s="2159"/>
      <c r="N4" s="2159"/>
      <c r="O4" s="2160"/>
    </row>
    <row r="5" spans="1:15" s="33" customFormat="1" ht="26" customHeight="1" thickBot="1">
      <c r="A5" s="366" t="s">
        <v>57</v>
      </c>
      <c r="B5" s="393"/>
      <c r="C5" s="395" t="s">
        <v>108</v>
      </c>
      <c r="D5" s="366" t="s">
        <v>52</v>
      </c>
      <c r="E5" s="393" t="s">
        <v>109</v>
      </c>
      <c r="F5" s="394" t="s">
        <v>53</v>
      </c>
      <c r="G5" s="395" t="s">
        <v>110</v>
      </c>
      <c r="H5" s="366" t="s">
        <v>54</v>
      </c>
      <c r="I5" s="393" t="s">
        <v>111</v>
      </c>
      <c r="J5" s="394" t="s">
        <v>55</v>
      </c>
      <c r="K5" s="395" t="s">
        <v>112</v>
      </c>
      <c r="L5" s="366" t="s">
        <v>56</v>
      </c>
      <c r="M5" s="396"/>
      <c r="N5" s="397" t="s">
        <v>113</v>
      </c>
      <c r="O5" s="398" t="s">
        <v>114</v>
      </c>
    </row>
    <row r="6" spans="1:15" ht="20" customHeight="1">
      <c r="A6" s="2147">
        <v>1</v>
      </c>
      <c r="B6" s="380" t="s">
        <v>96</v>
      </c>
      <c r="C6" s="203">
        <v>184817</v>
      </c>
      <c r="D6" s="196">
        <f>ROUND((C6*(1+'Løntabel gældende fra'!$D$7%)),0)</f>
        <v>209602</v>
      </c>
      <c r="E6" s="204">
        <v>188265</v>
      </c>
      <c r="F6" s="205">
        <f>ROUND((E6*(1+'Løntabel gældende fra'!$D$7%)),0)</f>
        <v>213512</v>
      </c>
      <c r="G6" s="203">
        <v>190650</v>
      </c>
      <c r="H6" s="196">
        <f>ROUND((G6*(1+'Løntabel gældende fra'!$D$7%)),0)</f>
        <v>216217</v>
      </c>
      <c r="I6" s="204">
        <v>194098</v>
      </c>
      <c r="J6" s="205">
        <f>ROUND((I6*(1+'Løntabel gældende fra'!$D$7%)),0)</f>
        <v>220127</v>
      </c>
      <c r="K6" s="203">
        <v>196484</v>
      </c>
      <c r="L6" s="196">
        <f>ROUND((K6*(1+'Løntabel gældende fra'!$D$7%)),0)</f>
        <v>222833</v>
      </c>
      <c r="M6" s="421"/>
      <c r="N6" s="401">
        <v>171917.38</v>
      </c>
      <c r="O6" s="210">
        <f>ROUND(N6*(1+'Løntabel gældende fra'!$D$7%),2)</f>
        <v>194972.19</v>
      </c>
    </row>
    <row r="7" spans="1:15">
      <c r="A7" s="2145"/>
      <c r="B7" s="405" t="s">
        <v>97</v>
      </c>
      <c r="C7" s="410">
        <f>C6/12</f>
        <v>15401.416666666666</v>
      </c>
      <c r="D7" s="417">
        <f t="shared" ref="D7:L7" si="0">ROUND(D6/12,2)</f>
        <v>17466.830000000002</v>
      </c>
      <c r="E7" s="414">
        <f>E6/12</f>
        <v>15688.75</v>
      </c>
      <c r="F7" s="399">
        <f t="shared" si="0"/>
        <v>17792.669999999998</v>
      </c>
      <c r="G7" s="410">
        <f>G6/12</f>
        <v>15887.5</v>
      </c>
      <c r="H7" s="417">
        <f t="shared" si="0"/>
        <v>18018.080000000002</v>
      </c>
      <c r="I7" s="414">
        <f>I6/12</f>
        <v>16174.833333333334</v>
      </c>
      <c r="J7" s="399">
        <f t="shared" si="0"/>
        <v>18343.919999999998</v>
      </c>
      <c r="K7" s="410">
        <f>K6/12</f>
        <v>16373.666666666666</v>
      </c>
      <c r="L7" s="417">
        <f t="shared" si="0"/>
        <v>18569.419999999998</v>
      </c>
      <c r="M7" s="422"/>
      <c r="N7" s="400"/>
      <c r="O7" s="402">
        <f>ROUND(O6/12,2)</f>
        <v>16247.68</v>
      </c>
    </row>
    <row r="8" spans="1:15" ht="16" thickBot="1">
      <c r="A8" s="2146"/>
      <c r="B8" s="382" t="s">
        <v>226</v>
      </c>
      <c r="C8" s="200"/>
      <c r="D8" s="201">
        <f>ROUND(D7/160.33,2)</f>
        <v>108.94</v>
      </c>
      <c r="E8" s="202"/>
      <c r="F8" s="201">
        <f t="shared" ref="F8:O8" si="1">ROUND(F7/160.33,2)</f>
        <v>110.98</v>
      </c>
      <c r="G8" s="201">
        <f t="shared" si="1"/>
        <v>99.09</v>
      </c>
      <c r="H8" s="201">
        <f t="shared" si="1"/>
        <v>112.38</v>
      </c>
      <c r="I8" s="201">
        <f t="shared" si="1"/>
        <v>100.88</v>
      </c>
      <c r="J8" s="201">
        <f t="shared" si="1"/>
        <v>114.41</v>
      </c>
      <c r="K8" s="201">
        <f t="shared" si="1"/>
        <v>102.12</v>
      </c>
      <c r="L8" s="201">
        <f t="shared" si="1"/>
        <v>115.82</v>
      </c>
      <c r="M8" s="201">
        <f t="shared" si="1"/>
        <v>0</v>
      </c>
      <c r="N8" s="201">
        <f t="shared" si="1"/>
        <v>0</v>
      </c>
      <c r="O8" s="201">
        <f t="shared" si="1"/>
        <v>101.34</v>
      </c>
    </row>
    <row r="9" spans="1:15">
      <c r="A9" s="2147">
        <v>2</v>
      </c>
      <c r="B9" s="380" t="s">
        <v>96</v>
      </c>
      <c r="C9" s="203">
        <v>187655</v>
      </c>
      <c r="D9" s="196">
        <f>ROUND((C9*(1+'Løntabel gældende fra'!$D$7%)),0)</f>
        <v>212820</v>
      </c>
      <c r="E9" s="204">
        <v>191187</v>
      </c>
      <c r="F9" s="205">
        <f>ROUND((E9*(1+'Løntabel gældende fra'!$D$7%)),0)</f>
        <v>216826</v>
      </c>
      <c r="G9" s="203">
        <v>193632</v>
      </c>
      <c r="H9" s="196">
        <f>ROUND((G9*(1+'Løntabel gældende fra'!$D$7%)),0)</f>
        <v>219599</v>
      </c>
      <c r="I9" s="204">
        <v>197161</v>
      </c>
      <c r="J9" s="205">
        <f>ROUND((I9*(1+'Løntabel gældende fra'!$D$7%)),0)</f>
        <v>223601</v>
      </c>
      <c r="K9" s="203">
        <v>199607</v>
      </c>
      <c r="L9" s="196">
        <f>ROUND((K9*(1+'Løntabel gældende fra'!$D$7%)),0)</f>
        <v>226375</v>
      </c>
      <c r="M9" s="423"/>
      <c r="N9" s="401">
        <v>174577.34</v>
      </c>
      <c r="O9" s="210">
        <f>ROUND(N9*(1+'Løntabel gældende fra'!$D$7%),2)</f>
        <v>197988.86</v>
      </c>
    </row>
    <row r="10" spans="1:15">
      <c r="A10" s="2145"/>
      <c r="B10" s="405" t="s">
        <v>97</v>
      </c>
      <c r="C10" s="410"/>
      <c r="D10" s="417">
        <f>ROUND(D9/12,2)</f>
        <v>17735</v>
      </c>
      <c r="E10" s="414"/>
      <c r="F10" s="399">
        <f>ROUND(F9/12,2)</f>
        <v>18068.830000000002</v>
      </c>
      <c r="G10" s="410">
        <f>G9/12</f>
        <v>16136</v>
      </c>
      <c r="H10" s="417">
        <f>ROUND(H9/12,2)</f>
        <v>18299.919999999998</v>
      </c>
      <c r="I10" s="414">
        <f>I9/12</f>
        <v>16430.083333333332</v>
      </c>
      <c r="J10" s="399">
        <f>ROUND(J9/12,2)</f>
        <v>18633.419999999998</v>
      </c>
      <c r="K10" s="410">
        <f>K9/12</f>
        <v>16633.916666666668</v>
      </c>
      <c r="L10" s="417">
        <f>ROUND(L9/12,2)</f>
        <v>18864.580000000002</v>
      </c>
      <c r="M10" s="422"/>
      <c r="N10" s="400"/>
      <c r="O10" s="402">
        <f>ROUND(O9/12,2)</f>
        <v>16499.07</v>
      </c>
    </row>
    <row r="11" spans="1:15" ht="16" thickBot="1">
      <c r="A11" s="2146"/>
      <c r="B11" s="382" t="s">
        <v>226</v>
      </c>
      <c r="C11" s="200">
        <f>C9/12</f>
        <v>15637.916666666666</v>
      </c>
      <c r="D11" s="201">
        <f>ROUND(D10/160.33,2)</f>
        <v>110.62</v>
      </c>
      <c r="E11" s="202">
        <f>E9/12</f>
        <v>15932.25</v>
      </c>
      <c r="F11" s="201">
        <f t="shared" ref="F11:O11" si="2">ROUND(F10/160.33,2)</f>
        <v>112.7</v>
      </c>
      <c r="G11" s="201">
        <f t="shared" si="2"/>
        <v>100.64</v>
      </c>
      <c r="H11" s="201">
        <f t="shared" si="2"/>
        <v>114.14</v>
      </c>
      <c r="I11" s="201">
        <f t="shared" si="2"/>
        <v>102.48</v>
      </c>
      <c r="J11" s="201">
        <f t="shared" si="2"/>
        <v>116.22</v>
      </c>
      <c r="K11" s="201">
        <f t="shared" si="2"/>
        <v>103.75</v>
      </c>
      <c r="L11" s="201">
        <f t="shared" si="2"/>
        <v>117.66</v>
      </c>
      <c r="M11" s="201">
        <f t="shared" si="2"/>
        <v>0</v>
      </c>
      <c r="N11" s="201">
        <f t="shared" si="2"/>
        <v>0</v>
      </c>
      <c r="O11" s="201">
        <f t="shared" si="2"/>
        <v>102.91</v>
      </c>
    </row>
    <row r="12" spans="1:15">
      <c r="A12" s="2147">
        <v>3</v>
      </c>
      <c r="B12" s="380" t="s">
        <v>96</v>
      </c>
      <c r="C12" s="203">
        <v>190571</v>
      </c>
      <c r="D12" s="196">
        <f>ROUND((C12*(1+'Løntabel gældende fra'!$D$7%)),0)</f>
        <v>216127</v>
      </c>
      <c r="E12" s="204">
        <v>194187</v>
      </c>
      <c r="F12" s="205">
        <f>ROUND((E12*(1+'Løntabel gældende fra'!$D$7%)),0)</f>
        <v>220228</v>
      </c>
      <c r="G12" s="203">
        <v>196692</v>
      </c>
      <c r="H12" s="196">
        <f>ROUND((G12*(1+'Løntabel gældende fra'!$D$7%)),0)</f>
        <v>223069</v>
      </c>
      <c r="I12" s="204">
        <v>200308</v>
      </c>
      <c r="J12" s="205">
        <f>ROUND((I12*(1+'Løntabel gældende fra'!$D$7%)),0)</f>
        <v>227170</v>
      </c>
      <c r="K12" s="203">
        <v>202814</v>
      </c>
      <c r="L12" s="196">
        <f>ROUND((K12*(1+'Løntabel gældende fra'!$D$7%)),0)</f>
        <v>230012</v>
      </c>
      <c r="M12" s="423"/>
      <c r="N12" s="401">
        <v>177309.48</v>
      </c>
      <c r="O12" s="210">
        <f>ROUND(N12*(1+'Løntabel gældende fra'!$D$7%),2)</f>
        <v>201087.39</v>
      </c>
    </row>
    <row r="13" spans="1:15">
      <c r="A13" s="2145"/>
      <c r="B13" s="405" t="s">
        <v>97</v>
      </c>
      <c r="C13" s="410">
        <f>C12/12</f>
        <v>15880.916666666666</v>
      </c>
      <c r="D13" s="417">
        <f>ROUND(D12/12,2)</f>
        <v>18010.580000000002</v>
      </c>
      <c r="E13" s="414">
        <f>E12/12</f>
        <v>16182.25</v>
      </c>
      <c r="F13" s="399">
        <f>ROUND(F12/12,2)</f>
        <v>18352.330000000002</v>
      </c>
      <c r="G13" s="410">
        <f>G12/12</f>
        <v>16391</v>
      </c>
      <c r="H13" s="417">
        <f>ROUND(H12/12,2)</f>
        <v>18589.080000000002</v>
      </c>
      <c r="I13" s="414">
        <f>I12/12</f>
        <v>16692.333333333332</v>
      </c>
      <c r="J13" s="399">
        <f>ROUND(J12/12,2)</f>
        <v>18930.830000000002</v>
      </c>
      <c r="K13" s="410">
        <f>K12/12</f>
        <v>16901.166666666668</v>
      </c>
      <c r="L13" s="417">
        <f>ROUND(L12/12,2)</f>
        <v>19167.669999999998</v>
      </c>
      <c r="M13" s="422"/>
      <c r="N13" s="400"/>
      <c r="O13" s="402">
        <f>ROUND(O12/12,2)</f>
        <v>16757.28</v>
      </c>
    </row>
    <row r="14" spans="1:15" ht="16" thickBot="1">
      <c r="A14" s="2146"/>
      <c r="B14" s="382" t="s">
        <v>226</v>
      </c>
      <c r="C14" s="411"/>
      <c r="D14" s="201">
        <f>ROUND(D13/160.33,2)</f>
        <v>112.33</v>
      </c>
      <c r="E14" s="415"/>
      <c r="F14" s="201">
        <f t="shared" ref="F14:O14" si="3">ROUND(F13/160.33,2)</f>
        <v>114.47</v>
      </c>
      <c r="G14" s="201">
        <f t="shared" si="3"/>
        <v>102.23</v>
      </c>
      <c r="H14" s="201">
        <f t="shared" si="3"/>
        <v>115.94</v>
      </c>
      <c r="I14" s="201">
        <f t="shared" si="3"/>
        <v>104.11</v>
      </c>
      <c r="J14" s="201">
        <f t="shared" si="3"/>
        <v>118.07</v>
      </c>
      <c r="K14" s="201">
        <f t="shared" si="3"/>
        <v>105.41</v>
      </c>
      <c r="L14" s="201">
        <f t="shared" si="3"/>
        <v>119.55</v>
      </c>
      <c r="M14" s="201">
        <f t="shared" si="3"/>
        <v>0</v>
      </c>
      <c r="N14" s="201">
        <f t="shared" si="3"/>
        <v>0</v>
      </c>
      <c r="O14" s="201">
        <f t="shared" si="3"/>
        <v>104.52</v>
      </c>
    </row>
    <row r="15" spans="1:15">
      <c r="A15" s="2147">
        <v>4</v>
      </c>
      <c r="B15" s="380" t="s">
        <v>96</v>
      </c>
      <c r="C15" s="203">
        <v>193567</v>
      </c>
      <c r="D15" s="196">
        <f>ROUND((C15*(1+'Løntabel gældende fra'!$D$7%)),0)</f>
        <v>219525</v>
      </c>
      <c r="E15" s="204">
        <v>197274</v>
      </c>
      <c r="F15" s="205">
        <f>ROUND((E15*(1+'Løntabel gældende fra'!$D$7%)),0)</f>
        <v>223729</v>
      </c>
      <c r="G15" s="203">
        <v>199840</v>
      </c>
      <c r="H15" s="196">
        <f>ROUND((G15*(1+'Løntabel gældende fra'!$D$7%)),0)</f>
        <v>226639</v>
      </c>
      <c r="I15" s="204">
        <v>203545</v>
      </c>
      <c r="J15" s="205">
        <f>ROUND((I15*(1+'Løntabel gældende fra'!$D$7%)),0)</f>
        <v>230841</v>
      </c>
      <c r="K15" s="203">
        <v>206110</v>
      </c>
      <c r="L15" s="196">
        <f>ROUND((K15*(1+'Løntabel gældende fra'!$D$7%)),0)</f>
        <v>233750</v>
      </c>
      <c r="M15" s="423"/>
      <c r="N15" s="401">
        <v>180117.41</v>
      </c>
      <c r="O15" s="210">
        <f>ROUND(N15*(1+'Løntabel gældende fra'!$D$7%),2)</f>
        <v>204271.88</v>
      </c>
    </row>
    <row r="16" spans="1:15">
      <c r="A16" s="2145"/>
      <c r="B16" s="405" t="s">
        <v>97</v>
      </c>
      <c r="C16" s="410">
        <f>C15/12</f>
        <v>16130.583333333334</v>
      </c>
      <c r="D16" s="417">
        <f>ROUND(D15/12,2)</f>
        <v>18293.75</v>
      </c>
      <c r="E16" s="414">
        <f>E15/12</f>
        <v>16439.5</v>
      </c>
      <c r="F16" s="399">
        <f>ROUND(F15/12,2)</f>
        <v>18644.080000000002</v>
      </c>
      <c r="G16" s="410">
        <f>G15/12</f>
        <v>16653.333333333332</v>
      </c>
      <c r="H16" s="417">
        <f>ROUND(H15/12,2)</f>
        <v>18886.580000000002</v>
      </c>
      <c r="I16" s="414">
        <f>I15/12</f>
        <v>16962.083333333332</v>
      </c>
      <c r="J16" s="399">
        <f>ROUND(J15/12,2)</f>
        <v>19236.75</v>
      </c>
      <c r="K16" s="410">
        <f>K15/12</f>
        <v>17175.833333333332</v>
      </c>
      <c r="L16" s="417">
        <f>ROUND(L15/12,2)</f>
        <v>19479.169999999998</v>
      </c>
      <c r="M16" s="422"/>
      <c r="N16" s="400"/>
      <c r="O16" s="402">
        <f>ROUND(O15/12,2)</f>
        <v>17022.66</v>
      </c>
    </row>
    <row r="17" spans="1:15" ht="16" thickBot="1">
      <c r="A17" s="2146"/>
      <c r="B17" s="382" t="s">
        <v>226</v>
      </c>
      <c r="C17" s="411"/>
      <c r="D17" s="201">
        <f>ROUND(D16/160.33,2)</f>
        <v>114.1</v>
      </c>
      <c r="E17" s="415"/>
      <c r="F17" s="201">
        <f t="shared" ref="F17:O17" si="4">ROUND(F16/160.33,2)</f>
        <v>116.29</v>
      </c>
      <c r="G17" s="201">
        <f t="shared" si="4"/>
        <v>103.87</v>
      </c>
      <c r="H17" s="201">
        <f t="shared" si="4"/>
        <v>117.8</v>
      </c>
      <c r="I17" s="201">
        <f t="shared" si="4"/>
        <v>105.79</v>
      </c>
      <c r="J17" s="201">
        <f t="shared" si="4"/>
        <v>119.98</v>
      </c>
      <c r="K17" s="201">
        <f t="shared" si="4"/>
        <v>107.13</v>
      </c>
      <c r="L17" s="201">
        <f t="shared" si="4"/>
        <v>121.49</v>
      </c>
      <c r="M17" s="201">
        <f t="shared" si="4"/>
        <v>0</v>
      </c>
      <c r="N17" s="201">
        <f t="shared" si="4"/>
        <v>0</v>
      </c>
      <c r="O17" s="201">
        <f t="shared" si="4"/>
        <v>106.17</v>
      </c>
    </row>
    <row r="18" spans="1:15">
      <c r="A18" s="2147">
        <v>5</v>
      </c>
      <c r="B18" s="380" t="s">
        <v>96</v>
      </c>
      <c r="C18" s="203">
        <v>196645</v>
      </c>
      <c r="D18" s="196">
        <f>ROUND((C18*(1+'Løntabel gældende fra'!$D$7%)),0)</f>
        <v>223016</v>
      </c>
      <c r="E18" s="204">
        <v>200442</v>
      </c>
      <c r="F18" s="205">
        <f>ROUND((E18*(1+'Løntabel gældende fra'!$D$7%)),0)</f>
        <v>227322</v>
      </c>
      <c r="G18" s="203">
        <v>203072</v>
      </c>
      <c r="H18" s="196">
        <f>ROUND((G18*(1+'Løntabel gældende fra'!$D$7%)),0)</f>
        <v>230305</v>
      </c>
      <c r="I18" s="204">
        <v>206869</v>
      </c>
      <c r="J18" s="205">
        <f>ROUND((I18*(1+'Løntabel gældende fra'!$D$7%)),0)</f>
        <v>234611</v>
      </c>
      <c r="K18" s="203">
        <v>209497</v>
      </c>
      <c r="L18" s="196">
        <f>ROUND((K18*(1+'Løntabel gældende fra'!$D$7%)),0)</f>
        <v>237591</v>
      </c>
      <c r="M18" s="423"/>
      <c r="N18" s="401">
        <v>183001.14</v>
      </c>
      <c r="O18" s="210">
        <f>ROUND(N18*(1+'Løntabel gældende fra'!$D$7%),2)</f>
        <v>207542.32</v>
      </c>
    </row>
    <row r="19" spans="1:15">
      <c r="A19" s="2145"/>
      <c r="B19" s="405" t="s">
        <v>97</v>
      </c>
      <c r="C19" s="410">
        <f>C18/12</f>
        <v>16387.083333333332</v>
      </c>
      <c r="D19" s="417">
        <f>ROUND(D18/12,2)</f>
        <v>18584.669999999998</v>
      </c>
      <c r="E19" s="414">
        <f>E18/12</f>
        <v>16703.5</v>
      </c>
      <c r="F19" s="399">
        <f>ROUND(F18/12,2)</f>
        <v>18943.5</v>
      </c>
      <c r="G19" s="410">
        <f>G18/12</f>
        <v>16922.666666666668</v>
      </c>
      <c r="H19" s="417">
        <f>ROUND(H18/12,2)</f>
        <v>19192.080000000002</v>
      </c>
      <c r="I19" s="414">
        <f>I18/12</f>
        <v>17239.083333333332</v>
      </c>
      <c r="J19" s="399">
        <f>ROUND(J18/12,2)</f>
        <v>19550.919999999998</v>
      </c>
      <c r="K19" s="410">
        <f>K18/12</f>
        <v>17458.083333333332</v>
      </c>
      <c r="L19" s="417">
        <f>ROUND(L18/12,2)</f>
        <v>19799.25</v>
      </c>
      <c r="M19" s="422"/>
      <c r="N19" s="400"/>
      <c r="O19" s="402">
        <f>ROUND(O18/12,2)</f>
        <v>17295.189999999999</v>
      </c>
    </row>
    <row r="20" spans="1:15" ht="16" thickBot="1">
      <c r="A20" s="2146"/>
      <c r="B20" s="382" t="s">
        <v>226</v>
      </c>
      <c r="C20" s="411"/>
      <c r="D20" s="201">
        <f>ROUND(D19/160.33,2)</f>
        <v>115.92</v>
      </c>
      <c r="E20" s="415"/>
      <c r="F20" s="201">
        <f t="shared" ref="F20:O20" si="5">ROUND(F19/160.33,2)</f>
        <v>118.15</v>
      </c>
      <c r="G20" s="201">
        <f t="shared" si="5"/>
        <v>105.55</v>
      </c>
      <c r="H20" s="201">
        <f t="shared" si="5"/>
        <v>119.7</v>
      </c>
      <c r="I20" s="201">
        <f t="shared" si="5"/>
        <v>107.52</v>
      </c>
      <c r="J20" s="201">
        <f t="shared" si="5"/>
        <v>121.94</v>
      </c>
      <c r="K20" s="201">
        <f t="shared" si="5"/>
        <v>108.89</v>
      </c>
      <c r="L20" s="201">
        <f t="shared" si="5"/>
        <v>123.49</v>
      </c>
      <c r="M20" s="201">
        <f t="shared" si="5"/>
        <v>0</v>
      </c>
      <c r="N20" s="201">
        <f t="shared" si="5"/>
        <v>0</v>
      </c>
      <c r="O20" s="201">
        <f t="shared" si="5"/>
        <v>107.87</v>
      </c>
    </row>
    <row r="21" spans="1:15">
      <c r="A21" s="2144">
        <v>6</v>
      </c>
      <c r="B21" s="194" t="s">
        <v>96</v>
      </c>
      <c r="C21" s="195">
        <v>199810</v>
      </c>
      <c r="D21" s="199">
        <f>ROUND((C21*(1+'Løntabel gældende fra'!$D$7%)),0)</f>
        <v>226605</v>
      </c>
      <c r="E21" s="197">
        <v>203700</v>
      </c>
      <c r="F21" s="198">
        <f>ROUND((E21*(1+'Løntabel gældende fra'!$D$7%)),0)</f>
        <v>231017</v>
      </c>
      <c r="G21" s="195">
        <v>206395</v>
      </c>
      <c r="H21" s="199">
        <f>ROUND((G21*(1+'Løntabel gældende fra'!$D$7%)),0)</f>
        <v>234073</v>
      </c>
      <c r="I21" s="197">
        <v>210285</v>
      </c>
      <c r="J21" s="198">
        <f>ROUND((I21*(1+'Løntabel gældende fra'!$D$7%)),0)</f>
        <v>238485</v>
      </c>
      <c r="K21" s="195">
        <v>212978</v>
      </c>
      <c r="L21" s="199">
        <f>ROUND((K21*(1+'Løntabel gældende fra'!$D$7%)),0)</f>
        <v>241539</v>
      </c>
      <c r="M21" s="424"/>
      <c r="N21" s="403">
        <v>185966.06</v>
      </c>
      <c r="O21" s="404">
        <f>ROUND(N21*(1+'Løntabel gældende fra'!$D$7%),2)</f>
        <v>210904.85</v>
      </c>
    </row>
    <row r="22" spans="1:15">
      <c r="A22" s="2145"/>
      <c r="B22" s="405" t="s">
        <v>97</v>
      </c>
      <c r="C22" s="410">
        <f>C21/12</f>
        <v>16650.833333333332</v>
      </c>
      <c r="D22" s="417">
        <f>ROUND(D21/12,2)</f>
        <v>18883.75</v>
      </c>
      <c r="E22" s="414">
        <f>E21/12</f>
        <v>16975</v>
      </c>
      <c r="F22" s="399">
        <f>ROUND(F21/12,2)</f>
        <v>19251.419999999998</v>
      </c>
      <c r="G22" s="410">
        <f>G21/12</f>
        <v>17199.583333333332</v>
      </c>
      <c r="H22" s="417">
        <f>ROUND(H21/12,2)</f>
        <v>19506.080000000002</v>
      </c>
      <c r="I22" s="414">
        <f>I21/12</f>
        <v>17523.75</v>
      </c>
      <c r="J22" s="399">
        <f>ROUND(J21/12,2)</f>
        <v>19873.75</v>
      </c>
      <c r="K22" s="410">
        <f>K21/12</f>
        <v>17748.166666666668</v>
      </c>
      <c r="L22" s="417">
        <f>ROUND(L21/12,2)</f>
        <v>20128.25</v>
      </c>
      <c r="M22" s="422"/>
      <c r="N22" s="400"/>
      <c r="O22" s="402">
        <f>ROUND(O21/12,2)</f>
        <v>17575.400000000001</v>
      </c>
    </row>
    <row r="23" spans="1:15" ht="16" thickBot="1">
      <c r="A23" s="2148"/>
      <c r="B23" s="406" t="s">
        <v>226</v>
      </c>
      <c r="C23" s="412"/>
      <c r="D23" s="418">
        <f>ROUND(D22/160.33,2)</f>
        <v>117.78</v>
      </c>
      <c r="E23" s="416"/>
      <c r="F23" s="418">
        <f t="shared" ref="F23:O23" si="6">ROUND(F22/160.33,2)</f>
        <v>120.07</v>
      </c>
      <c r="G23" s="418">
        <f t="shared" si="6"/>
        <v>107.28</v>
      </c>
      <c r="H23" s="418">
        <f t="shared" si="6"/>
        <v>121.66</v>
      </c>
      <c r="I23" s="418">
        <f t="shared" si="6"/>
        <v>109.3</v>
      </c>
      <c r="J23" s="418">
        <f t="shared" si="6"/>
        <v>123.96</v>
      </c>
      <c r="K23" s="418">
        <f t="shared" si="6"/>
        <v>110.7</v>
      </c>
      <c r="L23" s="418">
        <f t="shared" si="6"/>
        <v>125.54</v>
      </c>
      <c r="M23" s="418">
        <f t="shared" si="6"/>
        <v>0</v>
      </c>
      <c r="N23" s="418">
        <f t="shared" si="6"/>
        <v>0</v>
      </c>
      <c r="O23" s="418">
        <f t="shared" si="6"/>
        <v>109.62</v>
      </c>
    </row>
    <row r="24" spans="1:15">
      <c r="A24" s="2147">
        <v>7</v>
      </c>
      <c r="B24" s="380" t="s">
        <v>96</v>
      </c>
      <c r="C24" s="203">
        <v>203058</v>
      </c>
      <c r="D24" s="196">
        <f>ROUND((C24*(1+'Løntabel gældende fra'!$D$7%)),0)</f>
        <v>230289</v>
      </c>
      <c r="E24" s="204">
        <v>207045</v>
      </c>
      <c r="F24" s="205">
        <f>ROUND((E24*(1+'Løntabel gældende fra'!$D$7%)),0)</f>
        <v>234811</v>
      </c>
      <c r="G24" s="203">
        <v>209805</v>
      </c>
      <c r="H24" s="196">
        <f>ROUND((G24*(1+'Løntabel gældende fra'!$D$7%)),0)</f>
        <v>237941</v>
      </c>
      <c r="I24" s="204">
        <v>213792</v>
      </c>
      <c r="J24" s="205">
        <f>ROUND((I24*(1+'Løntabel gældende fra'!$D$7%)),0)</f>
        <v>242462</v>
      </c>
      <c r="K24" s="203">
        <v>216551</v>
      </c>
      <c r="L24" s="196">
        <f>ROUND((K24*(1+'Løntabel gældende fra'!$D$7%)),0)</f>
        <v>245591</v>
      </c>
      <c r="M24" s="423"/>
      <c r="N24" s="401">
        <v>189010.4</v>
      </c>
      <c r="O24" s="210">
        <f>ROUND(N24*(1+'Løntabel gældende fra'!$D$7%),2)</f>
        <v>214357.45</v>
      </c>
    </row>
    <row r="25" spans="1:15">
      <c r="A25" s="2145"/>
      <c r="B25" s="405" t="s">
        <v>97</v>
      </c>
      <c r="C25" s="410"/>
      <c r="D25" s="417">
        <f>ROUND(D24/12,2)</f>
        <v>19190.75</v>
      </c>
      <c r="E25" s="414">
        <f>E24/12</f>
        <v>17253.75</v>
      </c>
      <c r="F25" s="399">
        <f>ROUND(F24/12,2)</f>
        <v>19567.580000000002</v>
      </c>
      <c r="G25" s="410">
        <f>G24/12</f>
        <v>17483.75</v>
      </c>
      <c r="H25" s="417">
        <f>ROUND(H24/12,2)</f>
        <v>19828.419999999998</v>
      </c>
      <c r="I25" s="414">
        <f>I24/12</f>
        <v>17816</v>
      </c>
      <c r="J25" s="399">
        <f>ROUND(J24/12,2)</f>
        <v>20205.169999999998</v>
      </c>
      <c r="K25" s="410">
        <f>K24/12</f>
        <v>18045.916666666668</v>
      </c>
      <c r="L25" s="417">
        <f>ROUND(L24/12,2)</f>
        <v>20465.919999999998</v>
      </c>
      <c r="M25" s="422"/>
      <c r="N25" s="400"/>
      <c r="O25" s="402">
        <f>ROUND(O24/12,2)</f>
        <v>17863.12</v>
      </c>
    </row>
    <row r="26" spans="1:15" ht="16" thickBot="1">
      <c r="A26" s="2146"/>
      <c r="B26" s="382" t="s">
        <v>226</v>
      </c>
      <c r="C26" s="200">
        <f>C24/12</f>
        <v>16921.5</v>
      </c>
      <c r="D26" s="201">
        <f>ROUND(D25/160.33,2)</f>
        <v>119.7</v>
      </c>
      <c r="E26" s="415"/>
      <c r="F26" s="201">
        <f t="shared" ref="F26:O26" si="7">ROUND(F25/160.33,2)</f>
        <v>122.05</v>
      </c>
      <c r="G26" s="201">
        <f t="shared" si="7"/>
        <v>109.05</v>
      </c>
      <c r="H26" s="201">
        <f t="shared" si="7"/>
        <v>123.67</v>
      </c>
      <c r="I26" s="201">
        <f t="shared" si="7"/>
        <v>111.12</v>
      </c>
      <c r="J26" s="201">
        <f t="shared" si="7"/>
        <v>126.02</v>
      </c>
      <c r="K26" s="201">
        <f t="shared" si="7"/>
        <v>112.55</v>
      </c>
      <c r="L26" s="201">
        <f t="shared" si="7"/>
        <v>127.65</v>
      </c>
      <c r="M26" s="201">
        <f t="shared" si="7"/>
        <v>0</v>
      </c>
      <c r="N26" s="201">
        <f t="shared" si="7"/>
        <v>0</v>
      </c>
      <c r="O26" s="201">
        <f t="shared" si="7"/>
        <v>111.41</v>
      </c>
    </row>
    <row r="27" spans="1:15">
      <c r="A27" s="2144">
        <v>8</v>
      </c>
      <c r="B27" s="194" t="s">
        <v>96</v>
      </c>
      <c r="C27" s="195">
        <v>206396</v>
      </c>
      <c r="D27" s="199">
        <f>ROUND((C27*(1+'Løntabel gældende fra'!$D$7%)),0)</f>
        <v>234075</v>
      </c>
      <c r="E27" s="197">
        <v>210482</v>
      </c>
      <c r="F27" s="198">
        <f>ROUND((E27*(1+'Løntabel gældende fra'!$D$7%)),0)</f>
        <v>238708</v>
      </c>
      <c r="G27" s="195">
        <v>213311</v>
      </c>
      <c r="H27" s="199">
        <f>ROUND((G27*(1+'Løntabel gældende fra'!$D$7%)),0)</f>
        <v>241917</v>
      </c>
      <c r="I27" s="197">
        <v>217397</v>
      </c>
      <c r="J27" s="198">
        <f>ROUND((I27*(1+'Løntabel gældende fra'!$D$7%)),0)</f>
        <v>246551</v>
      </c>
      <c r="K27" s="195">
        <v>220226</v>
      </c>
      <c r="L27" s="199">
        <f>ROUND((K27*(1+'Løntabel gældende fra'!$D$7%)),0)</f>
        <v>249759</v>
      </c>
      <c r="M27" s="424"/>
      <c r="N27" s="403">
        <v>192139.54</v>
      </c>
      <c r="O27" s="404">
        <f>ROUND(N27*(1+'Løntabel gældende fra'!$D$7%),2)</f>
        <v>217906.22</v>
      </c>
    </row>
    <row r="28" spans="1:15">
      <c r="A28" s="2145"/>
      <c r="B28" s="405" t="s">
        <v>97</v>
      </c>
      <c r="C28" s="410"/>
      <c r="D28" s="417">
        <f>ROUND(D27/12,2)</f>
        <v>19506.25</v>
      </c>
      <c r="E28" s="414">
        <f>E27/12</f>
        <v>17540.166666666668</v>
      </c>
      <c r="F28" s="399">
        <f>ROUND(F27/12,2)</f>
        <v>19892.330000000002</v>
      </c>
      <c r="G28" s="410">
        <f>G27/12</f>
        <v>17775.916666666668</v>
      </c>
      <c r="H28" s="417">
        <f>ROUND(H27/12,2)</f>
        <v>20159.75</v>
      </c>
      <c r="I28" s="414">
        <f>I27/12</f>
        <v>18116.416666666668</v>
      </c>
      <c r="J28" s="399">
        <f>ROUND(J27/12,2)</f>
        <v>20545.919999999998</v>
      </c>
      <c r="K28" s="410">
        <f>K27/12</f>
        <v>18352.166666666668</v>
      </c>
      <c r="L28" s="417">
        <f>ROUND(L27/12,2)</f>
        <v>20813.25</v>
      </c>
      <c r="M28" s="422"/>
      <c r="N28" s="400"/>
      <c r="O28" s="402">
        <f>ROUND(O27/12,2)</f>
        <v>18158.849999999999</v>
      </c>
    </row>
    <row r="29" spans="1:15" ht="16" thickBot="1">
      <c r="A29" s="2148"/>
      <c r="B29" s="406" t="s">
        <v>226</v>
      </c>
      <c r="C29" s="413">
        <f>C27/12</f>
        <v>17199.666666666668</v>
      </c>
      <c r="D29" s="418">
        <f>ROUND(D28/160.33,2)</f>
        <v>121.66</v>
      </c>
      <c r="E29" s="416"/>
      <c r="F29" s="418">
        <f t="shared" ref="F29:O29" si="8">ROUND(F28/160.33,2)</f>
        <v>124.07</v>
      </c>
      <c r="G29" s="418">
        <f t="shared" si="8"/>
        <v>110.87</v>
      </c>
      <c r="H29" s="418">
        <f t="shared" si="8"/>
        <v>125.74</v>
      </c>
      <c r="I29" s="418">
        <f t="shared" si="8"/>
        <v>112.99</v>
      </c>
      <c r="J29" s="418">
        <f t="shared" si="8"/>
        <v>128.15</v>
      </c>
      <c r="K29" s="418">
        <f t="shared" si="8"/>
        <v>114.46</v>
      </c>
      <c r="L29" s="418">
        <f t="shared" si="8"/>
        <v>129.82</v>
      </c>
      <c r="M29" s="418">
        <f t="shared" si="8"/>
        <v>0</v>
      </c>
      <c r="N29" s="418">
        <f t="shared" si="8"/>
        <v>0</v>
      </c>
      <c r="O29" s="418">
        <f t="shared" si="8"/>
        <v>113.26</v>
      </c>
    </row>
    <row r="30" spans="1:15">
      <c r="A30" s="2147">
        <v>9</v>
      </c>
      <c r="B30" s="380" t="s">
        <v>96</v>
      </c>
      <c r="C30" s="203">
        <v>209829</v>
      </c>
      <c r="D30" s="196">
        <f>ROUND((C30*(1+'Løntabel gældende fra'!$D$7%)),0)</f>
        <v>237968</v>
      </c>
      <c r="E30" s="204">
        <v>214015</v>
      </c>
      <c r="F30" s="205">
        <f>ROUND((E30*(1+'Løntabel gældende fra'!$D$7%)),0)</f>
        <v>242715</v>
      </c>
      <c r="G30" s="203">
        <v>216916</v>
      </c>
      <c r="H30" s="196">
        <f>ROUND((G30*(1+'Løntabel gældende fra'!$D$7%)),0)</f>
        <v>246005</v>
      </c>
      <c r="I30" s="204">
        <v>221102</v>
      </c>
      <c r="J30" s="205">
        <f>ROUND((I30*(1+'Løntabel gældende fra'!$D$7%)),0)</f>
        <v>250753</v>
      </c>
      <c r="K30" s="203">
        <v>224002</v>
      </c>
      <c r="L30" s="196">
        <f>ROUND((K30*(1+'Løntabel gældende fra'!$D$7%)),0)</f>
        <v>254042</v>
      </c>
      <c r="M30" s="423"/>
      <c r="N30" s="401">
        <v>195355.31</v>
      </c>
      <c r="O30" s="210">
        <f>ROUND(N30*(1+'Løntabel gældende fra'!$D$7%),2)</f>
        <v>221553.24</v>
      </c>
    </row>
    <row r="31" spans="1:15">
      <c r="A31" s="2145"/>
      <c r="B31" s="405" t="s">
        <v>231</v>
      </c>
      <c r="C31" s="410"/>
      <c r="D31" s="417">
        <f>ROUND(D30/12,2)</f>
        <v>19830.669999999998</v>
      </c>
      <c r="E31" s="414">
        <f>E30/12</f>
        <v>17834.583333333332</v>
      </c>
      <c r="F31" s="399">
        <f>ROUND(F30/12,2)</f>
        <v>20226.25</v>
      </c>
      <c r="G31" s="410">
        <f>G30/12</f>
        <v>18076.333333333332</v>
      </c>
      <c r="H31" s="417">
        <f>ROUND(H30/12,2)</f>
        <v>20500.419999999998</v>
      </c>
      <c r="I31" s="414">
        <f>I30/12</f>
        <v>18425.166666666668</v>
      </c>
      <c r="J31" s="399">
        <f>ROUND(J30/12,2)</f>
        <v>20896.080000000002</v>
      </c>
      <c r="K31" s="410">
        <f>K30/12</f>
        <v>18666.833333333332</v>
      </c>
      <c r="L31" s="417">
        <f>ROUND(L30/12,2)</f>
        <v>21170.17</v>
      </c>
      <c r="M31" s="422"/>
      <c r="N31" s="400"/>
      <c r="O31" s="402">
        <f>ROUND(O30/12,2)</f>
        <v>18462.77</v>
      </c>
    </row>
    <row r="32" spans="1:15" ht="16" thickBot="1">
      <c r="A32" s="2146"/>
      <c r="B32" s="382" t="s">
        <v>226</v>
      </c>
      <c r="C32" s="200">
        <f>C30/12</f>
        <v>17485.75</v>
      </c>
      <c r="D32" s="201">
        <f>ROUND(D31/160.33,2)</f>
        <v>123.69</v>
      </c>
      <c r="E32" s="415"/>
      <c r="F32" s="201">
        <f t="shared" ref="F32:O32" si="9">ROUND(F31/160.33,2)</f>
        <v>126.15</v>
      </c>
      <c r="G32" s="201">
        <f t="shared" si="9"/>
        <v>112.74</v>
      </c>
      <c r="H32" s="201">
        <f t="shared" si="9"/>
        <v>127.86</v>
      </c>
      <c r="I32" s="201">
        <f t="shared" si="9"/>
        <v>114.92</v>
      </c>
      <c r="J32" s="201">
        <f t="shared" si="9"/>
        <v>130.33000000000001</v>
      </c>
      <c r="K32" s="201">
        <f t="shared" si="9"/>
        <v>116.43</v>
      </c>
      <c r="L32" s="201">
        <f t="shared" si="9"/>
        <v>132.04</v>
      </c>
      <c r="M32" s="201">
        <f t="shared" si="9"/>
        <v>0</v>
      </c>
      <c r="N32" s="201">
        <f t="shared" si="9"/>
        <v>0</v>
      </c>
      <c r="O32" s="201">
        <f t="shared" si="9"/>
        <v>115.15</v>
      </c>
    </row>
    <row r="33" spans="1:15">
      <c r="A33" s="2144">
        <v>10</v>
      </c>
      <c r="B33" s="194" t="s">
        <v>96</v>
      </c>
      <c r="C33" s="195">
        <v>213353</v>
      </c>
      <c r="D33" s="199">
        <f>ROUND((C33*(1+'Løntabel gældende fra'!$D$7%)),0)</f>
        <v>241964</v>
      </c>
      <c r="E33" s="197">
        <v>217646</v>
      </c>
      <c r="F33" s="198">
        <f>ROUND((E33*(1+'Løntabel gældende fra'!$D$7%)),0)</f>
        <v>246833</v>
      </c>
      <c r="G33" s="195">
        <v>220617</v>
      </c>
      <c r="H33" s="199">
        <f>ROUND((G33*(1+'Løntabel gældende fra'!$D$7%)),0)</f>
        <v>250203</v>
      </c>
      <c r="I33" s="197">
        <v>224909</v>
      </c>
      <c r="J33" s="198">
        <f>ROUND((I33*(1+'Løntabel gældende fra'!$D$7%)),0)</f>
        <v>255070</v>
      </c>
      <c r="K33" s="195">
        <v>227882</v>
      </c>
      <c r="L33" s="199">
        <f>ROUND((K33*(1+'Løntabel gældende fra'!$D$7%)),0)</f>
        <v>258442</v>
      </c>
      <c r="M33" s="424"/>
      <c r="N33" s="403">
        <v>198659.5</v>
      </c>
      <c r="O33" s="404">
        <f>ROUND(N33*(1+'Løntabel gældende fra'!$D$7%),2)</f>
        <v>225300.53</v>
      </c>
    </row>
    <row r="34" spans="1:15">
      <c r="A34" s="2145"/>
      <c r="B34" s="405" t="s">
        <v>97</v>
      </c>
      <c r="C34" s="410"/>
      <c r="D34" s="417">
        <f>ROUND(D33/12,2)</f>
        <v>20163.669999999998</v>
      </c>
      <c r="E34" s="414">
        <f>E33/12</f>
        <v>18137.166666666668</v>
      </c>
      <c r="F34" s="399">
        <f>ROUND(F33/12,2)</f>
        <v>20569.419999999998</v>
      </c>
      <c r="G34" s="410">
        <f>G33/12</f>
        <v>18384.75</v>
      </c>
      <c r="H34" s="417">
        <f>ROUND(H33/12,2)</f>
        <v>20850.25</v>
      </c>
      <c r="I34" s="414">
        <f>I33/12</f>
        <v>18742.416666666668</v>
      </c>
      <c r="J34" s="399">
        <f>ROUND(J33/12,2)</f>
        <v>21255.83</v>
      </c>
      <c r="K34" s="410">
        <f>K33/12</f>
        <v>18990.166666666668</v>
      </c>
      <c r="L34" s="417">
        <f>ROUND(L33/12,2)</f>
        <v>21536.83</v>
      </c>
      <c r="M34" s="422"/>
      <c r="N34" s="400"/>
      <c r="O34" s="402">
        <f>ROUND(O33/12,2)</f>
        <v>18775.04</v>
      </c>
    </row>
    <row r="35" spans="1:15" ht="16" thickBot="1">
      <c r="A35" s="2148"/>
      <c r="B35" s="406" t="s">
        <v>226</v>
      </c>
      <c r="C35" s="413">
        <f>C33/12</f>
        <v>17779.416666666668</v>
      </c>
      <c r="D35" s="418">
        <f>ROUND(D34/160.33,2)</f>
        <v>125.76</v>
      </c>
      <c r="E35" s="416"/>
      <c r="F35" s="418">
        <f t="shared" ref="F35:O35" si="10">ROUND(F34/160.33,2)</f>
        <v>128.29</v>
      </c>
      <c r="G35" s="418">
        <f t="shared" si="10"/>
        <v>114.67</v>
      </c>
      <c r="H35" s="418">
        <f t="shared" si="10"/>
        <v>130.05000000000001</v>
      </c>
      <c r="I35" s="418">
        <f t="shared" si="10"/>
        <v>116.9</v>
      </c>
      <c r="J35" s="418">
        <f t="shared" si="10"/>
        <v>132.58000000000001</v>
      </c>
      <c r="K35" s="418">
        <f t="shared" si="10"/>
        <v>118.44</v>
      </c>
      <c r="L35" s="418">
        <f t="shared" si="10"/>
        <v>134.33000000000001</v>
      </c>
      <c r="M35" s="418">
        <f t="shared" si="10"/>
        <v>0</v>
      </c>
      <c r="N35" s="418">
        <f t="shared" si="10"/>
        <v>0</v>
      </c>
      <c r="O35" s="418">
        <f t="shared" si="10"/>
        <v>117.1</v>
      </c>
    </row>
    <row r="36" spans="1:15">
      <c r="A36" s="2147">
        <v>11</v>
      </c>
      <c r="B36" s="380" t="s">
        <v>96</v>
      </c>
      <c r="C36" s="203">
        <v>216134</v>
      </c>
      <c r="D36" s="196">
        <f>ROUND((C36*(1+'Løntabel gældende fra'!$D$7%)),0)</f>
        <v>245118</v>
      </c>
      <c r="E36" s="204">
        <v>220533</v>
      </c>
      <c r="F36" s="205">
        <f>ROUND((E36*(1+'Løntabel gældende fra'!$D$7%)),0)</f>
        <v>250107</v>
      </c>
      <c r="G36" s="203">
        <v>223579</v>
      </c>
      <c r="H36" s="196">
        <f>ROUND((G36*(1+'Løntabel gældende fra'!$D$7%)),0)</f>
        <v>253562</v>
      </c>
      <c r="I36" s="204">
        <v>227978</v>
      </c>
      <c r="J36" s="205">
        <f>ROUND((I36*(1+'Løntabel gældende fra'!$D$7%)),0)</f>
        <v>258551</v>
      </c>
      <c r="K36" s="203">
        <v>231023</v>
      </c>
      <c r="L36" s="196">
        <f>ROUND((K36*(1+'Løntabel gældende fra'!$D$7%)),0)</f>
        <v>262004</v>
      </c>
      <c r="M36" s="423"/>
      <c r="N36" s="401">
        <v>202053.93</v>
      </c>
      <c r="O36" s="210">
        <f>ROUND(N36*(1+'Løntabel gældende fra'!$D$7%),2)</f>
        <v>229150.17</v>
      </c>
    </row>
    <row r="37" spans="1:15">
      <c r="A37" s="2145"/>
      <c r="B37" s="405" t="s">
        <v>231</v>
      </c>
      <c r="C37" s="410"/>
      <c r="D37" s="417">
        <f>ROUND(D36/12,2)</f>
        <v>20426.5</v>
      </c>
      <c r="E37" s="414">
        <f>E36/12</f>
        <v>18377.75</v>
      </c>
      <c r="F37" s="399">
        <f>ROUND(F36/12,2)</f>
        <v>20842.25</v>
      </c>
      <c r="G37" s="410">
        <f>G36/12</f>
        <v>18631.583333333332</v>
      </c>
      <c r="H37" s="417">
        <f>ROUND(H36/12,2)</f>
        <v>21130.17</v>
      </c>
      <c r="I37" s="414">
        <f>I36/12</f>
        <v>18998.166666666668</v>
      </c>
      <c r="J37" s="399">
        <f>ROUND(J36/12,2)</f>
        <v>21545.919999999998</v>
      </c>
      <c r="K37" s="410">
        <f>K36/12</f>
        <v>19251.916666666668</v>
      </c>
      <c r="L37" s="417">
        <f>ROUND(L36/12,2)</f>
        <v>21833.67</v>
      </c>
      <c r="M37" s="422"/>
      <c r="N37" s="400"/>
      <c r="O37" s="402">
        <f>ROUND(O36/12,2)</f>
        <v>19095.849999999999</v>
      </c>
    </row>
    <row r="38" spans="1:15" ht="16" thickBot="1">
      <c r="A38" s="2146"/>
      <c r="B38" s="382" t="s">
        <v>226</v>
      </c>
      <c r="C38" s="200">
        <f>C36/12</f>
        <v>18011.166666666668</v>
      </c>
      <c r="D38" s="201">
        <f>ROUND(D37/160.33,2)</f>
        <v>127.4</v>
      </c>
      <c r="E38" s="415"/>
      <c r="F38" s="201">
        <f t="shared" ref="F38:O38" si="11">ROUND(F37/160.33,2)</f>
        <v>130</v>
      </c>
      <c r="G38" s="201">
        <f t="shared" si="11"/>
        <v>116.21</v>
      </c>
      <c r="H38" s="201">
        <f t="shared" si="11"/>
        <v>131.79</v>
      </c>
      <c r="I38" s="201">
        <f t="shared" si="11"/>
        <v>118.49</v>
      </c>
      <c r="J38" s="201">
        <f t="shared" si="11"/>
        <v>134.38</v>
      </c>
      <c r="K38" s="201">
        <f t="shared" si="11"/>
        <v>120.08</v>
      </c>
      <c r="L38" s="201">
        <f t="shared" si="11"/>
        <v>136.18</v>
      </c>
      <c r="M38" s="201">
        <f t="shared" si="11"/>
        <v>0</v>
      </c>
      <c r="N38" s="201">
        <f t="shared" si="11"/>
        <v>0</v>
      </c>
      <c r="O38" s="201">
        <f t="shared" si="11"/>
        <v>119.1</v>
      </c>
    </row>
    <row r="39" spans="1:15">
      <c r="A39" s="2144">
        <v>12</v>
      </c>
      <c r="B39" s="194" t="s">
        <v>96</v>
      </c>
      <c r="C39" s="195">
        <v>219855</v>
      </c>
      <c r="D39" s="199">
        <f>ROUND((C39*(1+'Løntabel gældende fra'!$D$7%)),0)</f>
        <v>249338</v>
      </c>
      <c r="E39" s="197">
        <v>224365</v>
      </c>
      <c r="F39" s="198">
        <f>ROUND((E39*(1+'Løntabel gældende fra'!$D$7%)),0)</f>
        <v>254453</v>
      </c>
      <c r="G39" s="195">
        <v>227489</v>
      </c>
      <c r="H39" s="199">
        <f>ROUND((G39*(1+'Løntabel gældende fra'!$D$7%)),0)</f>
        <v>257996</v>
      </c>
      <c r="I39" s="197">
        <v>231997</v>
      </c>
      <c r="J39" s="198">
        <f>ROUND((I39*(1+'Løntabel gældende fra'!$D$7%)),0)</f>
        <v>263109</v>
      </c>
      <c r="K39" s="195">
        <v>235119</v>
      </c>
      <c r="L39" s="199">
        <f>ROUND((K39*(1+'Løntabel gældende fra'!$D$7%)),0)</f>
        <v>266649</v>
      </c>
      <c r="M39" s="424"/>
      <c r="N39" s="403">
        <v>205542.18</v>
      </c>
      <c r="O39" s="404">
        <f>ROUND(N39*(1+'Løntabel gældende fra'!$D$7%),2)</f>
        <v>233106.21</v>
      </c>
    </row>
    <row r="40" spans="1:15">
      <c r="A40" s="2145"/>
      <c r="B40" s="405" t="s">
        <v>97</v>
      </c>
      <c r="C40" s="410"/>
      <c r="D40" s="417">
        <f>ROUND(D39/12,2)</f>
        <v>20778.169999999998</v>
      </c>
      <c r="E40" s="414">
        <f>E39/12</f>
        <v>18697.083333333332</v>
      </c>
      <c r="F40" s="399">
        <f>ROUND(F39/12,2)</f>
        <v>21204.42</v>
      </c>
      <c r="G40" s="410">
        <f>G39/12</f>
        <v>18957.416666666668</v>
      </c>
      <c r="H40" s="417">
        <f>ROUND(H39/12,2)</f>
        <v>21499.67</v>
      </c>
      <c r="I40" s="414">
        <f>I39/12</f>
        <v>19333.083333333332</v>
      </c>
      <c r="J40" s="399">
        <f>ROUND(J39/12,2)</f>
        <v>21925.75</v>
      </c>
      <c r="K40" s="410">
        <f>K39/12</f>
        <v>19593.25</v>
      </c>
      <c r="L40" s="417">
        <f>ROUND(L39/12,2)</f>
        <v>22220.75</v>
      </c>
      <c r="M40" s="422"/>
      <c r="N40" s="400"/>
      <c r="O40" s="402">
        <f>ROUND(O39/12,2)</f>
        <v>19425.52</v>
      </c>
    </row>
    <row r="41" spans="1:15" ht="16" thickBot="1">
      <c r="A41" s="2148"/>
      <c r="B41" s="406" t="s">
        <v>226</v>
      </c>
      <c r="C41" s="413">
        <f>C39/12</f>
        <v>18321.25</v>
      </c>
      <c r="D41" s="418">
        <f>ROUND(D40/160.33,2)</f>
        <v>129.6</v>
      </c>
      <c r="E41" s="418">
        <f t="shared" ref="E41:O41" si="12">ROUND(E40/160.33,2)</f>
        <v>116.62</v>
      </c>
      <c r="F41" s="418">
        <f t="shared" si="12"/>
        <v>132.25</v>
      </c>
      <c r="G41" s="418">
        <f t="shared" si="12"/>
        <v>118.24</v>
      </c>
      <c r="H41" s="418">
        <f t="shared" si="12"/>
        <v>134.1</v>
      </c>
      <c r="I41" s="418">
        <f t="shared" si="12"/>
        <v>120.58</v>
      </c>
      <c r="J41" s="418">
        <f t="shared" si="12"/>
        <v>136.75</v>
      </c>
      <c r="K41" s="418">
        <f t="shared" si="12"/>
        <v>122.21</v>
      </c>
      <c r="L41" s="418">
        <f t="shared" si="12"/>
        <v>138.59</v>
      </c>
      <c r="M41" s="418">
        <f t="shared" si="12"/>
        <v>0</v>
      </c>
      <c r="N41" s="418">
        <f t="shared" si="12"/>
        <v>0</v>
      </c>
      <c r="O41" s="418">
        <f t="shared" si="12"/>
        <v>121.16</v>
      </c>
    </row>
    <row r="42" spans="1:15">
      <c r="A42" s="2147">
        <v>13</v>
      </c>
      <c r="B42" s="380" t="s">
        <v>96</v>
      </c>
      <c r="C42" s="203">
        <v>223681</v>
      </c>
      <c r="D42" s="196">
        <f>ROUND((C42*(1+'Løntabel gældende fra'!$D$7%)),0)</f>
        <v>253678</v>
      </c>
      <c r="E42" s="204">
        <v>228304</v>
      </c>
      <c r="F42" s="205">
        <f>ROUND((E42*(1+'Løntabel gældende fra'!$D$7%)),0)</f>
        <v>258920</v>
      </c>
      <c r="G42" s="203">
        <v>231504</v>
      </c>
      <c r="H42" s="196">
        <f>ROUND((G42*(1+'Løntabel gældende fra'!$D$7%)),0)</f>
        <v>262550</v>
      </c>
      <c r="I42" s="204">
        <v>236129</v>
      </c>
      <c r="J42" s="205">
        <f>ROUND((I42*(1+'Løntabel gældende fra'!$D$7%)),0)</f>
        <v>267795</v>
      </c>
      <c r="K42" s="203">
        <v>239328</v>
      </c>
      <c r="L42" s="196">
        <f>ROUND((K42*(1+'Løntabel gældende fra'!$D$7%)),0)</f>
        <v>271423</v>
      </c>
      <c r="M42" s="423"/>
      <c r="N42" s="401">
        <v>209126.09</v>
      </c>
      <c r="O42" s="210">
        <f>ROUND(N42*(1+'Løntabel gældende fra'!$D$7%),2)</f>
        <v>237170.74</v>
      </c>
    </row>
    <row r="43" spans="1:15">
      <c r="A43" s="2145"/>
      <c r="B43" s="405" t="s">
        <v>231</v>
      </c>
      <c r="C43" s="410"/>
      <c r="D43" s="417">
        <f>ROUND(D42/12,2)</f>
        <v>21139.83</v>
      </c>
      <c r="E43" s="414">
        <f>E42/12</f>
        <v>19025.333333333332</v>
      </c>
      <c r="F43" s="399">
        <f>ROUND(F42/12,2)</f>
        <v>21576.67</v>
      </c>
      <c r="G43" s="410">
        <f>G42/12</f>
        <v>19292</v>
      </c>
      <c r="H43" s="417">
        <f>ROUND(H42/12,2)</f>
        <v>21879.17</v>
      </c>
      <c r="I43" s="414">
        <f>I42/12</f>
        <v>19677.416666666668</v>
      </c>
      <c r="J43" s="399">
        <f>ROUND(J42/12,2)</f>
        <v>22316.25</v>
      </c>
      <c r="K43" s="410">
        <f>K42/12</f>
        <v>19944</v>
      </c>
      <c r="L43" s="417">
        <f>ROUND(L42/12,2)</f>
        <v>22618.58</v>
      </c>
      <c r="M43" s="422"/>
      <c r="N43" s="400"/>
      <c r="O43" s="402">
        <f>ROUND(O42/12,2)</f>
        <v>19764.23</v>
      </c>
    </row>
    <row r="44" spans="1:15" ht="16" thickBot="1">
      <c r="A44" s="2146"/>
      <c r="B44" s="382" t="s">
        <v>226</v>
      </c>
      <c r="C44" s="200">
        <f>C42/12</f>
        <v>18640.083333333332</v>
      </c>
      <c r="D44" s="201">
        <f>ROUND(D43/160.33,2)</f>
        <v>131.85</v>
      </c>
      <c r="E44" s="415"/>
      <c r="F44" s="201">
        <f t="shared" ref="F44:O44" si="13">ROUND(F43/160.33,2)</f>
        <v>134.58000000000001</v>
      </c>
      <c r="G44" s="201">
        <f t="shared" si="13"/>
        <v>120.33</v>
      </c>
      <c r="H44" s="201">
        <f t="shared" si="13"/>
        <v>136.46</v>
      </c>
      <c r="I44" s="201">
        <f t="shared" si="13"/>
        <v>122.73</v>
      </c>
      <c r="J44" s="201">
        <f t="shared" si="13"/>
        <v>139.19</v>
      </c>
      <c r="K44" s="201">
        <f t="shared" si="13"/>
        <v>124.39</v>
      </c>
      <c r="L44" s="201">
        <f t="shared" si="13"/>
        <v>141.08000000000001</v>
      </c>
      <c r="M44" s="201">
        <f t="shared" si="13"/>
        <v>0</v>
      </c>
      <c r="N44" s="201">
        <f t="shared" si="13"/>
        <v>0</v>
      </c>
      <c r="O44" s="201">
        <f t="shared" si="13"/>
        <v>123.27</v>
      </c>
    </row>
    <row r="45" spans="1:15">
      <c r="A45" s="2147">
        <v>14</v>
      </c>
      <c r="B45" s="380" t="s">
        <v>96</v>
      </c>
      <c r="C45" s="203">
        <v>227611</v>
      </c>
      <c r="D45" s="196">
        <f>ROUND((C45*(1+'Løntabel gældende fra'!$D$7%)),0)</f>
        <v>258135</v>
      </c>
      <c r="E45" s="204">
        <v>232351</v>
      </c>
      <c r="F45" s="205">
        <f>ROUND((E45*(1+'Løntabel gældende fra'!$D$7%)),0)</f>
        <v>263510</v>
      </c>
      <c r="G45" s="203">
        <v>235632</v>
      </c>
      <c r="H45" s="196">
        <f>ROUND((G45*(1+'Løntabel gældende fra'!$D$7%)),0)</f>
        <v>267231</v>
      </c>
      <c r="I45" s="204">
        <v>240371</v>
      </c>
      <c r="J45" s="205">
        <f>ROUND((I45*(1+'Løntabel gældende fra'!$D$7%)),0)</f>
        <v>272606</v>
      </c>
      <c r="K45" s="203">
        <v>243652</v>
      </c>
      <c r="L45" s="196">
        <f>ROUND((K45*(1+'Løntabel gældende fra'!$D$7%)),0)</f>
        <v>276327</v>
      </c>
      <c r="M45" s="423"/>
      <c r="N45" s="401">
        <v>212809.24</v>
      </c>
      <c r="O45" s="210">
        <f>ROUND(N45*(1+'Løntabel gældende fra'!$D$7%),2)</f>
        <v>241347.81</v>
      </c>
    </row>
    <row r="46" spans="1:15">
      <c r="A46" s="2145"/>
      <c r="B46" s="405" t="s">
        <v>231</v>
      </c>
      <c r="C46" s="410"/>
      <c r="D46" s="417">
        <f>ROUND(D45/12,2)</f>
        <v>21511.25</v>
      </c>
      <c r="E46" s="414">
        <f>E45/12</f>
        <v>19362.583333333332</v>
      </c>
      <c r="F46" s="399">
        <f>ROUND(F45/12,2)</f>
        <v>21959.17</v>
      </c>
      <c r="G46" s="410">
        <f>G45/12</f>
        <v>19636</v>
      </c>
      <c r="H46" s="417">
        <f>ROUND(H45/12,2)</f>
        <v>22269.25</v>
      </c>
      <c r="I46" s="414">
        <f>I45/12</f>
        <v>20030.916666666668</v>
      </c>
      <c r="J46" s="399">
        <f>ROUND(J45/12,2)</f>
        <v>22717.17</v>
      </c>
      <c r="K46" s="410">
        <f>K45/12</f>
        <v>20304.333333333332</v>
      </c>
      <c r="L46" s="417">
        <f>ROUND(L45/12,2)</f>
        <v>23027.25</v>
      </c>
      <c r="M46" s="422"/>
      <c r="N46" s="400"/>
      <c r="O46" s="402">
        <f>ROUND(O45/12,2)</f>
        <v>20112.32</v>
      </c>
    </row>
    <row r="47" spans="1:15" ht="16" thickBot="1">
      <c r="A47" s="2146"/>
      <c r="B47" s="382" t="s">
        <v>226</v>
      </c>
      <c r="C47" s="200">
        <f>C45/12</f>
        <v>18967.583333333332</v>
      </c>
      <c r="D47" s="201">
        <f>ROUND(D46/160.33,2)</f>
        <v>134.16999999999999</v>
      </c>
      <c r="E47" s="415"/>
      <c r="F47" s="201">
        <f t="shared" ref="F47:O47" si="14">ROUND(F46/160.33,2)</f>
        <v>136.96</v>
      </c>
      <c r="G47" s="201">
        <f t="shared" si="14"/>
        <v>122.47</v>
      </c>
      <c r="H47" s="201">
        <f t="shared" si="14"/>
        <v>138.9</v>
      </c>
      <c r="I47" s="201">
        <f t="shared" si="14"/>
        <v>124.94</v>
      </c>
      <c r="J47" s="201">
        <f t="shared" si="14"/>
        <v>141.69</v>
      </c>
      <c r="K47" s="201">
        <f t="shared" si="14"/>
        <v>126.64</v>
      </c>
      <c r="L47" s="201">
        <f t="shared" si="14"/>
        <v>143.62</v>
      </c>
      <c r="M47" s="201">
        <f t="shared" si="14"/>
        <v>0</v>
      </c>
      <c r="N47" s="201">
        <f t="shared" si="14"/>
        <v>0</v>
      </c>
      <c r="O47" s="201">
        <f t="shared" si="14"/>
        <v>125.44</v>
      </c>
    </row>
    <row r="48" spans="1:15">
      <c r="A48" s="2147">
        <v>15</v>
      </c>
      <c r="B48" s="380" t="s">
        <v>96</v>
      </c>
      <c r="C48" s="203">
        <v>231649</v>
      </c>
      <c r="D48" s="196">
        <f>ROUND((C48*(1+'Løntabel gældende fra'!$D$7%)),0)</f>
        <v>262714</v>
      </c>
      <c r="E48" s="204">
        <v>236507</v>
      </c>
      <c r="F48" s="205">
        <f>ROUND((E48*(1+'Løntabel gældende fra'!$D$7%)),0)</f>
        <v>268224</v>
      </c>
      <c r="G48" s="203">
        <v>239870</v>
      </c>
      <c r="H48" s="196">
        <f>ROUND((G48*(1+'Løntabel gældende fra'!$D$7%)),0)</f>
        <v>272038</v>
      </c>
      <c r="I48" s="204">
        <v>244730</v>
      </c>
      <c r="J48" s="205">
        <f>ROUND((I48*(1+'Løntabel gældende fra'!$D$7%)),0)</f>
        <v>277549</v>
      </c>
      <c r="K48" s="203">
        <v>248094</v>
      </c>
      <c r="L48" s="196">
        <f>ROUND((K48*(1+'Løntabel gældende fra'!$D$7%)),0)</f>
        <v>281364</v>
      </c>
      <c r="M48" s="423"/>
      <c r="N48" s="401">
        <v>216591.65</v>
      </c>
      <c r="O48" s="210">
        <f>ROUND(N48*(1+'Løntabel gældende fra'!$D$7%),2)</f>
        <v>245637.46</v>
      </c>
    </row>
    <row r="49" spans="1:15">
      <c r="A49" s="2145"/>
      <c r="B49" s="405" t="s">
        <v>97</v>
      </c>
      <c r="C49" s="410"/>
      <c r="D49" s="417">
        <f>ROUND(D48/12,2)</f>
        <v>21892.83</v>
      </c>
      <c r="E49" s="414">
        <f>E48/12</f>
        <v>19708.916666666668</v>
      </c>
      <c r="F49" s="399">
        <f>ROUND(F48/12,2)</f>
        <v>22352</v>
      </c>
      <c r="G49" s="410">
        <f>G48/12</f>
        <v>19989.166666666668</v>
      </c>
      <c r="H49" s="417">
        <f>ROUND(H48/12,2)</f>
        <v>22669.83</v>
      </c>
      <c r="I49" s="414">
        <f>I48/12</f>
        <v>20394.166666666668</v>
      </c>
      <c r="J49" s="399">
        <f>ROUND(J48/12,2)</f>
        <v>23129.08</v>
      </c>
      <c r="K49" s="410">
        <f>K48/12</f>
        <v>20674.5</v>
      </c>
      <c r="L49" s="417">
        <f>ROUND(L48/12,2)</f>
        <v>23447</v>
      </c>
      <c r="M49" s="422"/>
      <c r="N49" s="400"/>
      <c r="O49" s="402">
        <f>ROUND(O48/12,2)</f>
        <v>20469.79</v>
      </c>
    </row>
    <row r="50" spans="1:15" ht="16" thickBot="1">
      <c r="A50" s="2146"/>
      <c r="B50" s="382" t="s">
        <v>226</v>
      </c>
      <c r="C50" s="200">
        <f>C48/12</f>
        <v>19304.083333333332</v>
      </c>
      <c r="D50" s="201">
        <f>ROUND(D49/160.33,2)</f>
        <v>136.55000000000001</v>
      </c>
      <c r="E50" s="415"/>
      <c r="F50" s="201">
        <f t="shared" ref="F50:O50" si="15">ROUND(F49/160.33,2)</f>
        <v>139.41</v>
      </c>
      <c r="G50" s="201">
        <f t="shared" si="15"/>
        <v>124.68</v>
      </c>
      <c r="H50" s="201">
        <f t="shared" si="15"/>
        <v>141.38999999999999</v>
      </c>
      <c r="I50" s="201">
        <f t="shared" si="15"/>
        <v>127.2</v>
      </c>
      <c r="J50" s="201">
        <f t="shared" si="15"/>
        <v>144.26</v>
      </c>
      <c r="K50" s="201">
        <f t="shared" si="15"/>
        <v>128.94999999999999</v>
      </c>
      <c r="L50" s="201">
        <f t="shared" si="15"/>
        <v>146.24</v>
      </c>
      <c r="M50" s="201">
        <f t="shared" si="15"/>
        <v>0</v>
      </c>
      <c r="N50" s="201">
        <f t="shared" si="15"/>
        <v>0</v>
      </c>
      <c r="O50" s="201">
        <f t="shared" si="15"/>
        <v>127.67</v>
      </c>
    </row>
    <row r="51" spans="1:15">
      <c r="A51" s="2147">
        <v>16</v>
      </c>
      <c r="B51" s="380" t="s">
        <v>96</v>
      </c>
      <c r="C51" s="203">
        <v>234743</v>
      </c>
      <c r="D51" s="196">
        <f>ROUND((C51*(1+'Løntabel gældende fra'!$D$7%)),0)</f>
        <v>266223</v>
      </c>
      <c r="E51" s="204">
        <v>239725</v>
      </c>
      <c r="F51" s="205">
        <f>ROUND((E51*(1+'Løntabel gældende fra'!$D$7%)),0)</f>
        <v>271873</v>
      </c>
      <c r="G51" s="203">
        <v>243175</v>
      </c>
      <c r="H51" s="196">
        <f>ROUND((G51*(1+'Løntabel gældende fra'!$D$7%)),0)</f>
        <v>275786</v>
      </c>
      <c r="I51" s="204">
        <v>248156</v>
      </c>
      <c r="J51" s="205">
        <f>ROUND((I51*(1+'Løntabel gældende fra'!$D$7%)),0)</f>
        <v>281435</v>
      </c>
      <c r="K51" s="203">
        <v>251606</v>
      </c>
      <c r="L51" s="196">
        <f>ROUND((K51*(1+'Løntabel gældende fra'!$D$7%)),0)</f>
        <v>285347</v>
      </c>
      <c r="M51" s="423"/>
      <c r="N51" s="401">
        <v>220480.52</v>
      </c>
      <c r="O51" s="210">
        <f>ROUND(N51*(1+'Løntabel gældende fra'!$D$7%),2)</f>
        <v>250047.84</v>
      </c>
    </row>
    <row r="52" spans="1:15">
      <c r="A52" s="2145"/>
      <c r="B52" s="405" t="s">
        <v>231</v>
      </c>
      <c r="C52" s="410"/>
      <c r="D52" s="417">
        <f>ROUND(D51/12,2)</f>
        <v>22185.25</v>
      </c>
      <c r="E52" s="414">
        <f>E51/12</f>
        <v>19977.083333333332</v>
      </c>
      <c r="F52" s="399">
        <f>ROUND(F51/12,2)</f>
        <v>22656.080000000002</v>
      </c>
      <c r="G52" s="410">
        <f>G51/12</f>
        <v>20264.583333333332</v>
      </c>
      <c r="H52" s="417">
        <f>ROUND(H51/12,2)</f>
        <v>22982.17</v>
      </c>
      <c r="I52" s="414">
        <f>I51/12</f>
        <v>20679.666666666668</v>
      </c>
      <c r="J52" s="399">
        <f>ROUND(J51/12,2)</f>
        <v>23452.92</v>
      </c>
      <c r="K52" s="410">
        <f>K51/12</f>
        <v>20967.166666666668</v>
      </c>
      <c r="L52" s="417">
        <f>ROUND(L51/12,2)</f>
        <v>23778.92</v>
      </c>
      <c r="M52" s="422"/>
      <c r="N52" s="400"/>
      <c r="O52" s="402">
        <f>ROUND(O51/12,2)</f>
        <v>20837.32</v>
      </c>
    </row>
    <row r="53" spans="1:15" ht="16" thickBot="1">
      <c r="A53" s="2146"/>
      <c r="B53" s="382" t="s">
        <v>226</v>
      </c>
      <c r="C53" s="200">
        <f>C51/12</f>
        <v>19561.916666666668</v>
      </c>
      <c r="D53" s="201">
        <f>ROUND(D52/160.33,2)</f>
        <v>138.37</v>
      </c>
      <c r="E53" s="415"/>
      <c r="F53" s="201">
        <f t="shared" ref="F53:O53" si="16">ROUND(F52/160.33,2)</f>
        <v>141.31</v>
      </c>
      <c r="G53" s="201">
        <f t="shared" si="16"/>
        <v>126.39</v>
      </c>
      <c r="H53" s="201">
        <f t="shared" si="16"/>
        <v>143.34</v>
      </c>
      <c r="I53" s="201">
        <f t="shared" si="16"/>
        <v>128.97999999999999</v>
      </c>
      <c r="J53" s="201">
        <f t="shared" si="16"/>
        <v>146.28</v>
      </c>
      <c r="K53" s="201">
        <f t="shared" si="16"/>
        <v>130.78</v>
      </c>
      <c r="L53" s="201">
        <f t="shared" si="16"/>
        <v>148.31</v>
      </c>
      <c r="M53" s="201">
        <f t="shared" si="16"/>
        <v>0</v>
      </c>
      <c r="N53" s="201">
        <f t="shared" si="16"/>
        <v>0</v>
      </c>
      <c r="O53" s="201">
        <f t="shared" si="16"/>
        <v>129.97</v>
      </c>
    </row>
    <row r="54" spans="1:15">
      <c r="A54" s="2144">
        <v>17</v>
      </c>
      <c r="B54" s="194" t="s">
        <v>96</v>
      </c>
      <c r="C54" s="195">
        <v>239005</v>
      </c>
      <c r="D54" s="199">
        <f>ROUND((C54*(1+'Løntabel gældende fra'!$D$7%)),0)</f>
        <v>271057</v>
      </c>
      <c r="E54" s="197">
        <v>244114</v>
      </c>
      <c r="F54" s="198">
        <f>ROUND((E54*(1+'Løntabel gældende fra'!$D$7%)),0)</f>
        <v>276851</v>
      </c>
      <c r="G54" s="195">
        <v>247651</v>
      </c>
      <c r="H54" s="199">
        <f>ROUND((G54*(1+'Løntabel gældende fra'!$D$7%)),0)</f>
        <v>280862</v>
      </c>
      <c r="I54" s="197">
        <v>252759</v>
      </c>
      <c r="J54" s="198">
        <f>ROUND((I54*(1+'Løntabel gældende fra'!$D$7%)),0)</f>
        <v>286655</v>
      </c>
      <c r="K54" s="195">
        <v>256294</v>
      </c>
      <c r="L54" s="199">
        <f>ROUND((K54*(1+'Løntabel gældende fra'!$D$7%)),0)</f>
        <v>290664</v>
      </c>
      <c r="M54" s="424"/>
      <c r="N54" s="403">
        <v>224474.06</v>
      </c>
      <c r="O54" s="404">
        <f>ROUND(N54*(1+'Løntabel gældende fra'!$D$7%),2)</f>
        <v>254576.93</v>
      </c>
    </row>
    <row r="55" spans="1:15">
      <c r="A55" s="2145"/>
      <c r="B55" s="405" t="s">
        <v>231</v>
      </c>
      <c r="C55" s="410"/>
      <c r="D55" s="417">
        <f>ROUND(D54/12,2)</f>
        <v>22588.080000000002</v>
      </c>
      <c r="E55" s="414">
        <f>E54/12</f>
        <v>20342.833333333332</v>
      </c>
      <c r="F55" s="399">
        <f>ROUND(F54/12,2)</f>
        <v>23070.92</v>
      </c>
      <c r="G55" s="410">
        <f>G54/12</f>
        <v>20637.583333333332</v>
      </c>
      <c r="H55" s="417">
        <f>ROUND(H54/12,2)</f>
        <v>23405.17</v>
      </c>
      <c r="I55" s="414">
        <f>I54/12</f>
        <v>21063.25</v>
      </c>
      <c r="J55" s="399">
        <f>ROUND(J54/12,2)</f>
        <v>23887.919999999998</v>
      </c>
      <c r="K55" s="410">
        <f>K54/12</f>
        <v>21357.833333333332</v>
      </c>
      <c r="L55" s="417">
        <f>ROUND(L54/12,2)</f>
        <v>24222</v>
      </c>
      <c r="M55" s="422"/>
      <c r="N55" s="400"/>
      <c r="O55" s="402">
        <f>ROUND(O54/12,2)</f>
        <v>21214.74</v>
      </c>
    </row>
    <row r="56" spans="1:15" ht="16" thickBot="1">
      <c r="A56" s="2148"/>
      <c r="B56" s="406" t="s">
        <v>226</v>
      </c>
      <c r="C56" s="413">
        <f>C54/12</f>
        <v>19917.083333333332</v>
      </c>
      <c r="D56" s="201">
        <f>ROUND(D55/160.33,2)</f>
        <v>140.88</v>
      </c>
      <c r="E56" s="416"/>
      <c r="F56" s="201">
        <f t="shared" ref="F56:O56" si="17">ROUND(F55/160.33,2)</f>
        <v>143.9</v>
      </c>
      <c r="G56" s="201">
        <f t="shared" si="17"/>
        <v>128.72</v>
      </c>
      <c r="H56" s="201">
        <f t="shared" si="17"/>
        <v>145.97999999999999</v>
      </c>
      <c r="I56" s="201">
        <f t="shared" si="17"/>
        <v>131.37</v>
      </c>
      <c r="J56" s="201">
        <f t="shared" si="17"/>
        <v>148.99</v>
      </c>
      <c r="K56" s="201">
        <f t="shared" si="17"/>
        <v>133.21</v>
      </c>
      <c r="L56" s="201">
        <f t="shared" si="17"/>
        <v>151.08000000000001</v>
      </c>
      <c r="M56" s="201">
        <f t="shared" si="17"/>
        <v>0</v>
      </c>
      <c r="N56" s="201">
        <f t="shared" si="17"/>
        <v>0</v>
      </c>
      <c r="O56" s="201">
        <f t="shared" si="17"/>
        <v>132.32</v>
      </c>
    </row>
    <row r="57" spans="1:15">
      <c r="A57" s="2147">
        <v>18</v>
      </c>
      <c r="B57" s="380" t="s">
        <v>96</v>
      </c>
      <c r="C57" s="203">
        <v>243387</v>
      </c>
      <c r="D57" s="196">
        <f>ROUND((C57*(1+'Løntabel gældende fra'!$D$7%)),0)</f>
        <v>276026</v>
      </c>
      <c r="E57" s="204">
        <v>248626</v>
      </c>
      <c r="F57" s="205">
        <f>ROUND((E57*(1+'Løntabel gældende fra'!$D$7%)),0)</f>
        <v>281968</v>
      </c>
      <c r="G57" s="203">
        <v>252252</v>
      </c>
      <c r="H57" s="196">
        <f>ROUND((G57*(1+'Løntabel gældende fra'!$D$7%)),0)</f>
        <v>286080</v>
      </c>
      <c r="I57" s="204">
        <v>257490</v>
      </c>
      <c r="J57" s="205">
        <f>ROUND((I57*(1+'Løntabel gældende fra'!$D$7%)),0)</f>
        <v>292020</v>
      </c>
      <c r="K57" s="203">
        <v>261115</v>
      </c>
      <c r="L57" s="196">
        <f>ROUND((K57*(1+'Løntabel gældende fra'!$D$7%)),0)</f>
        <v>296132</v>
      </c>
      <c r="M57" s="423"/>
      <c r="N57" s="401">
        <v>228579.5</v>
      </c>
      <c r="O57" s="210">
        <f>ROUND(N57*(1+'Løntabel gældende fra'!$D$7%),2)</f>
        <v>259232.93</v>
      </c>
    </row>
    <row r="58" spans="1:15">
      <c r="A58" s="2145"/>
      <c r="B58" s="405" t="s">
        <v>97</v>
      </c>
      <c r="C58" s="410"/>
      <c r="D58" s="417">
        <f>ROUND(D57/12,2)</f>
        <v>23002.17</v>
      </c>
      <c r="E58" s="414">
        <f>E57/12</f>
        <v>20718.833333333332</v>
      </c>
      <c r="F58" s="399">
        <f>ROUND(F57/12,2)</f>
        <v>23497.33</v>
      </c>
      <c r="G58" s="410">
        <f>G57/12</f>
        <v>21021</v>
      </c>
      <c r="H58" s="417">
        <f>ROUND(H57/12,2)</f>
        <v>23840</v>
      </c>
      <c r="I58" s="414">
        <f>I57/12</f>
        <v>21457.5</v>
      </c>
      <c r="J58" s="399">
        <f>ROUND(J57/12,2)</f>
        <v>24335</v>
      </c>
      <c r="K58" s="410">
        <f>K57/12</f>
        <v>21759.583333333332</v>
      </c>
      <c r="L58" s="417">
        <f>ROUND(L57/12,2)</f>
        <v>24677.67</v>
      </c>
      <c r="M58" s="422"/>
      <c r="N58" s="400"/>
      <c r="O58" s="402">
        <f>ROUND(O57/12,2)</f>
        <v>21602.74</v>
      </c>
    </row>
    <row r="59" spans="1:15" ht="16" thickBot="1">
      <c r="A59" s="2146"/>
      <c r="B59" s="382" t="s">
        <v>226</v>
      </c>
      <c r="C59" s="200">
        <f>C57/12</f>
        <v>20282.25</v>
      </c>
      <c r="D59" s="201">
        <f>ROUND(D58/160.33,2)</f>
        <v>143.47</v>
      </c>
      <c r="E59" s="415"/>
      <c r="F59" s="201">
        <f t="shared" ref="F59:O59" si="18">ROUND(F58/160.33,2)</f>
        <v>146.56</v>
      </c>
      <c r="G59" s="201">
        <f t="shared" si="18"/>
        <v>131.11000000000001</v>
      </c>
      <c r="H59" s="201">
        <f t="shared" si="18"/>
        <v>148.69</v>
      </c>
      <c r="I59" s="201">
        <f t="shared" si="18"/>
        <v>133.83000000000001</v>
      </c>
      <c r="J59" s="201">
        <f t="shared" si="18"/>
        <v>151.78</v>
      </c>
      <c r="K59" s="201">
        <f t="shared" si="18"/>
        <v>135.72</v>
      </c>
      <c r="L59" s="201">
        <f t="shared" si="18"/>
        <v>153.91999999999999</v>
      </c>
      <c r="M59" s="201">
        <f t="shared" si="18"/>
        <v>0</v>
      </c>
      <c r="N59" s="201">
        <f t="shared" si="18"/>
        <v>0</v>
      </c>
      <c r="O59" s="201">
        <f t="shared" si="18"/>
        <v>134.74</v>
      </c>
    </row>
    <row r="60" spans="1:15">
      <c r="A60" s="2144">
        <v>19</v>
      </c>
      <c r="B60" s="194" t="s">
        <v>96</v>
      </c>
      <c r="C60" s="195">
        <v>246657</v>
      </c>
      <c r="D60" s="199">
        <f>ROUND((C60*(1+'Løntabel gældende fra'!$D$7%)),0)</f>
        <v>279735</v>
      </c>
      <c r="E60" s="197">
        <v>252029</v>
      </c>
      <c r="F60" s="198">
        <f>ROUND((E60*(1+'Løntabel gældende fra'!$D$7%)),0)</f>
        <v>285827</v>
      </c>
      <c r="G60" s="195">
        <v>255746</v>
      </c>
      <c r="H60" s="199">
        <f>ROUND((G60*(1+'Løntabel gældende fra'!$D$7%)),0)</f>
        <v>290043</v>
      </c>
      <c r="I60" s="197">
        <v>261119</v>
      </c>
      <c r="J60" s="198">
        <f>ROUND((I60*(1+'Løntabel gældende fra'!$D$7%)),0)</f>
        <v>296136</v>
      </c>
      <c r="K60" s="195">
        <v>264839</v>
      </c>
      <c r="L60" s="199">
        <f>ROUND((K60*(1+'Løntabel gældende fra'!$D$7%)),0)</f>
        <v>300355</v>
      </c>
      <c r="M60" s="424"/>
      <c r="N60" s="403">
        <v>232796.81</v>
      </c>
      <c r="O60" s="404">
        <f>ROUND(N60*(1+'Løntabel gældende fra'!$D$7%),2)</f>
        <v>264015.78999999998</v>
      </c>
    </row>
    <row r="61" spans="1:15">
      <c r="A61" s="2145"/>
      <c r="B61" s="405" t="s">
        <v>231</v>
      </c>
      <c r="C61" s="410"/>
      <c r="D61" s="417">
        <f>ROUND(D60/12,2)</f>
        <v>23311.25</v>
      </c>
      <c r="E61" s="414">
        <f>E60/12</f>
        <v>21002.416666666668</v>
      </c>
      <c r="F61" s="399">
        <f>ROUND(F60/12,2)</f>
        <v>23818.92</v>
      </c>
      <c r="G61" s="410">
        <f>G60/12</f>
        <v>21312.166666666668</v>
      </c>
      <c r="H61" s="417">
        <f>ROUND(H60/12,2)</f>
        <v>24170.25</v>
      </c>
      <c r="I61" s="414">
        <f>I60/12</f>
        <v>21759.916666666668</v>
      </c>
      <c r="J61" s="399">
        <f>ROUND(J60/12,2)</f>
        <v>24678</v>
      </c>
      <c r="K61" s="410">
        <f>K60/12</f>
        <v>22069.916666666668</v>
      </c>
      <c r="L61" s="417">
        <f>ROUND(L60/12,2)</f>
        <v>25029.58</v>
      </c>
      <c r="M61" s="422"/>
      <c r="N61" s="400"/>
      <c r="O61" s="402">
        <f>ROUND(O60/12,2)</f>
        <v>22001.32</v>
      </c>
    </row>
    <row r="62" spans="1:15" ht="16" thickBot="1">
      <c r="A62" s="2148"/>
      <c r="B62" s="406" t="s">
        <v>226</v>
      </c>
      <c r="C62" s="413">
        <f>C60/12</f>
        <v>20554.75</v>
      </c>
      <c r="D62" s="201">
        <f>ROUND(D61/160.33,2)</f>
        <v>145.4</v>
      </c>
      <c r="E62" s="416"/>
      <c r="F62" s="201">
        <f t="shared" ref="F62:O62" si="19">ROUND(F61/160.33,2)</f>
        <v>148.56</v>
      </c>
      <c r="G62" s="201">
        <f t="shared" si="19"/>
        <v>132.93</v>
      </c>
      <c r="H62" s="201">
        <f t="shared" si="19"/>
        <v>150.75</v>
      </c>
      <c r="I62" s="201">
        <f t="shared" si="19"/>
        <v>135.72</v>
      </c>
      <c r="J62" s="201">
        <f t="shared" si="19"/>
        <v>153.91999999999999</v>
      </c>
      <c r="K62" s="201">
        <f t="shared" si="19"/>
        <v>137.65</v>
      </c>
      <c r="L62" s="201">
        <f t="shared" si="19"/>
        <v>156.11000000000001</v>
      </c>
      <c r="M62" s="201">
        <f t="shared" si="19"/>
        <v>0</v>
      </c>
      <c r="N62" s="201">
        <f t="shared" si="19"/>
        <v>0</v>
      </c>
      <c r="O62" s="201">
        <f t="shared" si="19"/>
        <v>137.22999999999999</v>
      </c>
    </row>
    <row r="63" spans="1:15">
      <c r="A63" s="2147">
        <v>20</v>
      </c>
      <c r="B63" s="380" t="s">
        <v>96</v>
      </c>
      <c r="C63" s="203">
        <v>250053</v>
      </c>
      <c r="D63" s="196">
        <f>ROUND((C63*(1+'Løntabel gældende fra'!$D$7%)),0)</f>
        <v>283586</v>
      </c>
      <c r="E63" s="204">
        <v>255560</v>
      </c>
      <c r="F63" s="205">
        <f>ROUND((E63*(1+'Løntabel gældende fra'!$D$7%)),0)</f>
        <v>289832</v>
      </c>
      <c r="G63" s="203">
        <v>259374</v>
      </c>
      <c r="H63" s="196">
        <f>ROUND((G63*(1+'Løntabel gældende fra'!$D$7%)),0)</f>
        <v>294157</v>
      </c>
      <c r="I63" s="204">
        <v>264882</v>
      </c>
      <c r="J63" s="205">
        <f>ROUND((I63*(1+'Løntabel gældende fra'!$D$7%)),0)</f>
        <v>300404</v>
      </c>
      <c r="K63" s="203">
        <v>268694</v>
      </c>
      <c r="L63" s="196">
        <f>ROUND((K63*(1+'Løntabel gældende fra'!$D$7%)),0)</f>
        <v>304727</v>
      </c>
      <c r="M63" s="423"/>
      <c r="N63" s="401">
        <v>237129.61</v>
      </c>
      <c r="O63" s="210">
        <f>ROUND(N63*(1+'Løntabel gældende fra'!$D$7%),2)</f>
        <v>268929.64</v>
      </c>
    </row>
    <row r="64" spans="1:15">
      <c r="A64" s="2145"/>
      <c r="B64" s="405" t="s">
        <v>97</v>
      </c>
      <c r="C64" s="410"/>
      <c r="D64" s="417">
        <f>ROUND(D63/12,2)</f>
        <v>23632.17</v>
      </c>
      <c r="E64" s="414">
        <f>E63/12</f>
        <v>21296.666666666668</v>
      </c>
      <c r="F64" s="399">
        <f>ROUND(F63/12,2)</f>
        <v>24152.67</v>
      </c>
      <c r="G64" s="410">
        <f>G63/12</f>
        <v>21614.5</v>
      </c>
      <c r="H64" s="417">
        <f>ROUND(H63/12,2)</f>
        <v>24513.08</v>
      </c>
      <c r="I64" s="414">
        <f>I63/12</f>
        <v>22073.5</v>
      </c>
      <c r="J64" s="399">
        <f>ROUND(J63/12,2)</f>
        <v>25033.67</v>
      </c>
      <c r="K64" s="410">
        <f>K63/12</f>
        <v>22391.166666666668</v>
      </c>
      <c r="L64" s="417">
        <f>ROUND(L63/12,2)</f>
        <v>25393.919999999998</v>
      </c>
      <c r="M64" s="422"/>
      <c r="N64" s="400"/>
      <c r="O64" s="402">
        <f>ROUND(O63/12,2)</f>
        <v>22410.799999999999</v>
      </c>
    </row>
    <row r="65" spans="1:15" ht="16" thickBot="1">
      <c r="A65" s="2146"/>
      <c r="B65" s="382" t="s">
        <v>226</v>
      </c>
      <c r="C65" s="200">
        <f>C63/12</f>
        <v>20837.75</v>
      </c>
      <c r="D65" s="201">
        <f>ROUND(D64/160.33,2)</f>
        <v>147.4</v>
      </c>
      <c r="E65" s="415"/>
      <c r="F65" s="201">
        <f t="shared" ref="F65:O65" si="20">ROUND(F64/160.33,2)</f>
        <v>150.63999999999999</v>
      </c>
      <c r="G65" s="201">
        <f t="shared" si="20"/>
        <v>134.81</v>
      </c>
      <c r="H65" s="201">
        <f t="shared" si="20"/>
        <v>152.88999999999999</v>
      </c>
      <c r="I65" s="201">
        <f t="shared" si="20"/>
        <v>137.68</v>
      </c>
      <c r="J65" s="201">
        <f t="shared" si="20"/>
        <v>156.13999999999999</v>
      </c>
      <c r="K65" s="201">
        <f t="shared" si="20"/>
        <v>139.66</v>
      </c>
      <c r="L65" s="201">
        <f t="shared" si="20"/>
        <v>158.38999999999999</v>
      </c>
      <c r="M65" s="201">
        <f t="shared" si="20"/>
        <v>0</v>
      </c>
      <c r="N65" s="201">
        <f t="shared" si="20"/>
        <v>0</v>
      </c>
      <c r="O65" s="201">
        <f t="shared" si="20"/>
        <v>139.78</v>
      </c>
    </row>
    <row r="66" spans="1:15">
      <c r="A66" s="2144">
        <v>21</v>
      </c>
      <c r="B66" s="194" t="s">
        <v>96</v>
      </c>
      <c r="C66" s="195">
        <v>254192</v>
      </c>
      <c r="D66" s="199">
        <f>ROUND((C66*(1+'Løntabel gældende fra'!$D$7%)),0)</f>
        <v>288280</v>
      </c>
      <c r="E66" s="197">
        <v>259841</v>
      </c>
      <c r="F66" s="198">
        <f>ROUND((E66*(1+'Løntabel gældende fra'!$D$7%)),0)</f>
        <v>294687</v>
      </c>
      <c r="G66" s="195">
        <v>263752</v>
      </c>
      <c r="H66" s="199">
        <f>ROUND((G66*(1+'Løntabel gældende fra'!$D$7%)),0)</f>
        <v>299122</v>
      </c>
      <c r="I66" s="197">
        <v>269401</v>
      </c>
      <c r="J66" s="198">
        <f>ROUND((I66*(1+'Løntabel gældende fra'!$D$7%)),0)</f>
        <v>305529</v>
      </c>
      <c r="K66" s="195">
        <v>273312</v>
      </c>
      <c r="L66" s="199">
        <f>ROUND((K66*(1+'Løntabel gældende fra'!$D$7%)),0)</f>
        <v>309964</v>
      </c>
      <c r="M66" s="424"/>
      <c r="N66" s="403">
        <v>241583.32</v>
      </c>
      <c r="O66" s="404">
        <f>ROUND(N66*(1+'Løntabel gældende fra'!$D$7%),2)</f>
        <v>273980.61</v>
      </c>
    </row>
    <row r="67" spans="1:15">
      <c r="A67" s="2145"/>
      <c r="B67" s="405" t="s">
        <v>231</v>
      </c>
      <c r="C67" s="410"/>
      <c r="D67" s="417">
        <f>ROUND(D66/12,2)</f>
        <v>24023.33</v>
      </c>
      <c r="E67" s="414">
        <f>E66/12</f>
        <v>21653.416666666668</v>
      </c>
      <c r="F67" s="399">
        <f>ROUND(F66/12,2)</f>
        <v>24557.25</v>
      </c>
      <c r="G67" s="410">
        <f>G66/12</f>
        <v>21979.333333333332</v>
      </c>
      <c r="H67" s="417">
        <f>ROUND(H66/12,2)</f>
        <v>24926.83</v>
      </c>
      <c r="I67" s="414">
        <f>I66/12</f>
        <v>22450.083333333332</v>
      </c>
      <c r="J67" s="399">
        <f>ROUND(J66/12,2)</f>
        <v>25460.75</v>
      </c>
      <c r="K67" s="410">
        <f>K66/12</f>
        <v>22776</v>
      </c>
      <c r="L67" s="417">
        <f>ROUND(L66/12,2)</f>
        <v>25830.33</v>
      </c>
      <c r="M67" s="422"/>
      <c r="N67" s="400"/>
      <c r="O67" s="402">
        <f>ROUND(O66/12,2)</f>
        <v>22831.72</v>
      </c>
    </row>
    <row r="68" spans="1:15" ht="16" thickBot="1">
      <c r="A68" s="2148"/>
      <c r="B68" s="406" t="s">
        <v>226</v>
      </c>
      <c r="C68" s="413">
        <f>C66/12</f>
        <v>21182.666666666668</v>
      </c>
      <c r="D68" s="201">
        <f>ROUND(D67/160.33,2)</f>
        <v>149.84</v>
      </c>
      <c r="E68" s="416"/>
      <c r="F68" s="201">
        <f t="shared" ref="F68:O68" si="21">ROUND(F67/160.33,2)</f>
        <v>153.16999999999999</v>
      </c>
      <c r="G68" s="201">
        <f t="shared" si="21"/>
        <v>137.09</v>
      </c>
      <c r="H68" s="201">
        <f t="shared" si="21"/>
        <v>155.47</v>
      </c>
      <c r="I68" s="201">
        <f t="shared" si="21"/>
        <v>140.02000000000001</v>
      </c>
      <c r="J68" s="201">
        <f t="shared" si="21"/>
        <v>158.80000000000001</v>
      </c>
      <c r="K68" s="201">
        <f t="shared" si="21"/>
        <v>142.06</v>
      </c>
      <c r="L68" s="201">
        <f t="shared" si="21"/>
        <v>161.11000000000001</v>
      </c>
      <c r="M68" s="201">
        <f t="shared" si="21"/>
        <v>0</v>
      </c>
      <c r="N68" s="201">
        <f t="shared" si="21"/>
        <v>0</v>
      </c>
      <c r="O68" s="201">
        <f t="shared" si="21"/>
        <v>142.4</v>
      </c>
    </row>
    <row r="69" spans="1:15">
      <c r="A69" s="2147">
        <v>22</v>
      </c>
      <c r="B69" s="207" t="s">
        <v>96</v>
      </c>
      <c r="C69" s="203">
        <v>258027</v>
      </c>
      <c r="D69" s="196">
        <f>ROUND((C69*(1+'Løntabel gældende fra'!$D$7%)),0)</f>
        <v>292629</v>
      </c>
      <c r="E69" s="204">
        <v>263676</v>
      </c>
      <c r="F69" s="205">
        <f>ROUND((E69*(1+'Løntabel gældende fra'!$D$7%)),0)</f>
        <v>299036</v>
      </c>
      <c r="G69" s="203">
        <v>267587</v>
      </c>
      <c r="H69" s="196">
        <f>ROUND((G69*(1+'Løntabel gældende fra'!$D$7%)),0)</f>
        <v>303471</v>
      </c>
      <c r="I69" s="204">
        <v>273236</v>
      </c>
      <c r="J69" s="205">
        <f>ROUND((I69*(1+'Løntabel gældende fra'!$D$7%)),0)</f>
        <v>309878</v>
      </c>
      <c r="K69" s="203">
        <v>277147</v>
      </c>
      <c r="L69" s="196">
        <f>ROUND((K69*(1+'Løntabel gældende fra'!$D$7%)),0)</f>
        <v>314314</v>
      </c>
      <c r="M69" s="423"/>
      <c r="N69" s="401">
        <v>246033.33</v>
      </c>
      <c r="O69" s="210">
        <f>ROUND(N69*(1+'Løntabel gældende fra'!$D$7%),2)</f>
        <v>279027.38</v>
      </c>
    </row>
    <row r="70" spans="1:15">
      <c r="A70" s="2145"/>
      <c r="B70" s="407" t="s">
        <v>231</v>
      </c>
      <c r="C70" s="410"/>
      <c r="D70" s="417">
        <f>ROUND(D69/12,2)</f>
        <v>24385.75</v>
      </c>
      <c r="E70" s="414">
        <f>E69/12</f>
        <v>21973</v>
      </c>
      <c r="F70" s="399">
        <f>ROUND(F69/12,2)</f>
        <v>24919.67</v>
      </c>
      <c r="G70" s="410">
        <f>G69/12</f>
        <v>22298.916666666668</v>
      </c>
      <c r="H70" s="417">
        <f>ROUND(H69/12,2)</f>
        <v>25289.25</v>
      </c>
      <c r="I70" s="414">
        <f>I69/12</f>
        <v>22769.666666666668</v>
      </c>
      <c r="J70" s="399">
        <f>ROUND(J69/12,2)</f>
        <v>25823.17</v>
      </c>
      <c r="K70" s="410">
        <f>K69/12</f>
        <v>23095.583333333332</v>
      </c>
      <c r="L70" s="417">
        <f>ROUND(L69/12,2)</f>
        <v>26192.83</v>
      </c>
      <c r="M70" s="422"/>
      <c r="N70" s="400"/>
      <c r="O70" s="402">
        <f>ROUND(O69/12,2)</f>
        <v>23252.28</v>
      </c>
    </row>
    <row r="71" spans="1:15" ht="16" thickBot="1">
      <c r="A71" s="2146"/>
      <c r="B71" s="408" t="s">
        <v>226</v>
      </c>
      <c r="C71" s="200">
        <v>262137</v>
      </c>
      <c r="D71" s="201">
        <f>ROUND(D70/160.33,2)</f>
        <v>152.1</v>
      </c>
      <c r="E71" s="415"/>
      <c r="F71" s="201">
        <f t="shared" ref="F71:O71" si="22">ROUND(F70/160.33,2)</f>
        <v>155.43</v>
      </c>
      <c r="G71" s="201">
        <f t="shared" si="22"/>
        <v>139.08000000000001</v>
      </c>
      <c r="H71" s="201">
        <f t="shared" si="22"/>
        <v>157.72999999999999</v>
      </c>
      <c r="I71" s="201">
        <f t="shared" si="22"/>
        <v>142.02000000000001</v>
      </c>
      <c r="J71" s="201">
        <f t="shared" si="22"/>
        <v>161.06</v>
      </c>
      <c r="K71" s="201">
        <f t="shared" si="22"/>
        <v>144.05000000000001</v>
      </c>
      <c r="L71" s="201">
        <f t="shared" si="22"/>
        <v>163.37</v>
      </c>
      <c r="M71" s="201">
        <f t="shared" si="22"/>
        <v>0</v>
      </c>
      <c r="N71" s="201">
        <f t="shared" si="22"/>
        <v>0</v>
      </c>
      <c r="O71" s="201">
        <f t="shared" si="22"/>
        <v>145.03</v>
      </c>
    </row>
    <row r="72" spans="1:15">
      <c r="A72" s="2144">
        <v>23</v>
      </c>
      <c r="B72" s="206" t="s">
        <v>96</v>
      </c>
      <c r="C72" s="195">
        <v>262137</v>
      </c>
      <c r="D72" s="199">
        <f>ROUND((C72*(1+'Løntabel gældende fra'!$D$7%)),0)</f>
        <v>297291</v>
      </c>
      <c r="E72" s="197">
        <v>267629</v>
      </c>
      <c r="F72" s="198">
        <f>ROUND((E72*(1+'Løntabel gældende fra'!$D$7%)),0)</f>
        <v>303519</v>
      </c>
      <c r="G72" s="195">
        <v>271434</v>
      </c>
      <c r="H72" s="199">
        <f>ROUND((G72*(1+'Løntabel gældende fra'!$D$7%)),0)</f>
        <v>307834</v>
      </c>
      <c r="I72" s="197">
        <v>276928</v>
      </c>
      <c r="J72" s="198">
        <f>ROUND((I72*(1+'Løntabel gældende fra'!$D$7%)),0)</f>
        <v>314065</v>
      </c>
      <c r="K72" s="195">
        <v>280730</v>
      </c>
      <c r="L72" s="199">
        <f>ROUND((K72*(1+'Løntabel gældende fra'!$D$7%)),0)</f>
        <v>318377</v>
      </c>
      <c r="M72" s="424"/>
      <c r="N72" s="403">
        <v>250472.55</v>
      </c>
      <c r="O72" s="404">
        <f>ROUND(N72*(1+'Løntabel gældende fra'!$D$7%),2)</f>
        <v>284061.92</v>
      </c>
    </row>
    <row r="73" spans="1:15">
      <c r="A73" s="2145"/>
      <c r="B73" s="407" t="s">
        <v>231</v>
      </c>
      <c r="C73" s="410"/>
      <c r="D73" s="417">
        <f>ROUND(D72/12,2)</f>
        <v>24774.25</v>
      </c>
      <c r="E73" s="414">
        <f>E72/12</f>
        <v>22302.416666666668</v>
      </c>
      <c r="F73" s="399">
        <f>ROUND(F72/12,2)</f>
        <v>25293.25</v>
      </c>
      <c r="G73" s="410">
        <f>G72/12</f>
        <v>22619.5</v>
      </c>
      <c r="H73" s="417">
        <f>ROUND(H72/12,2)</f>
        <v>25652.83</v>
      </c>
      <c r="I73" s="414">
        <f>I72/12</f>
        <v>23077.333333333332</v>
      </c>
      <c r="J73" s="399">
        <f>ROUND(J72/12,2)</f>
        <v>26172.080000000002</v>
      </c>
      <c r="K73" s="410">
        <f>K72/12</f>
        <v>23394.166666666668</v>
      </c>
      <c r="L73" s="417">
        <f>ROUND(L72/12,2)</f>
        <v>26531.42</v>
      </c>
      <c r="M73" s="422"/>
      <c r="N73" s="400"/>
      <c r="O73" s="402">
        <f>ROUND(O72/12,2)</f>
        <v>23671.83</v>
      </c>
    </row>
    <row r="74" spans="1:15" ht="16" thickBot="1">
      <c r="A74" s="2148"/>
      <c r="B74" s="409" t="s">
        <v>226</v>
      </c>
      <c r="C74" s="413">
        <f>C72/12</f>
        <v>21844.75</v>
      </c>
      <c r="D74" s="201">
        <f>ROUND(D73/160.33,2)</f>
        <v>154.52000000000001</v>
      </c>
      <c r="E74" s="416"/>
      <c r="F74" s="201">
        <f t="shared" ref="F74:O74" si="23">ROUND(F73/160.33,2)</f>
        <v>157.76</v>
      </c>
      <c r="G74" s="201">
        <f t="shared" si="23"/>
        <v>141.08000000000001</v>
      </c>
      <c r="H74" s="201">
        <f t="shared" si="23"/>
        <v>160</v>
      </c>
      <c r="I74" s="201">
        <f t="shared" si="23"/>
        <v>143.94</v>
      </c>
      <c r="J74" s="201">
        <f t="shared" si="23"/>
        <v>163.24</v>
      </c>
      <c r="K74" s="201">
        <f t="shared" si="23"/>
        <v>145.91</v>
      </c>
      <c r="L74" s="201">
        <f t="shared" si="23"/>
        <v>165.48</v>
      </c>
      <c r="M74" s="201">
        <f t="shared" si="23"/>
        <v>0</v>
      </c>
      <c r="N74" s="201">
        <f t="shared" si="23"/>
        <v>0</v>
      </c>
      <c r="O74" s="201">
        <f t="shared" si="23"/>
        <v>147.63999999999999</v>
      </c>
    </row>
    <row r="75" spans="1:15">
      <c r="A75" s="2147">
        <v>24</v>
      </c>
      <c r="B75" s="207" t="s">
        <v>96</v>
      </c>
      <c r="C75" s="203">
        <v>266372</v>
      </c>
      <c r="D75" s="196">
        <f>ROUND((C75*(1+'Løntabel gældende fra'!$D$7%)),0)</f>
        <v>302094</v>
      </c>
      <c r="E75" s="204">
        <v>271710</v>
      </c>
      <c r="F75" s="205">
        <f>ROUND((E75*(1+'Løntabel gældende fra'!$D$7%)),0)</f>
        <v>308147</v>
      </c>
      <c r="G75" s="203">
        <v>275406</v>
      </c>
      <c r="H75" s="196">
        <f>ROUND((G75*(1+'Løntabel gældende fra'!$D$7%)),0)</f>
        <v>312339</v>
      </c>
      <c r="I75" s="204">
        <v>280745</v>
      </c>
      <c r="J75" s="205">
        <f>ROUND((I75*(1+'Løntabel gældende fra'!$D$7%)),0)</f>
        <v>318394</v>
      </c>
      <c r="K75" s="203">
        <v>284441</v>
      </c>
      <c r="L75" s="196">
        <f>ROUND((K75*(1+'Løntabel gældende fra'!$D$7%)),0)</f>
        <v>322586</v>
      </c>
      <c r="M75" s="423"/>
      <c r="N75" s="401">
        <v>255037.97</v>
      </c>
      <c r="O75" s="210">
        <f>ROUND(N75*(1+'Løntabel gældende fra'!$D$7%),2)</f>
        <v>289239.58</v>
      </c>
    </row>
    <row r="76" spans="1:15">
      <c r="A76" s="2145"/>
      <c r="B76" s="407" t="s">
        <v>231</v>
      </c>
      <c r="C76" s="410"/>
      <c r="D76" s="417">
        <f>ROUND(D75/12,2)</f>
        <v>25174.5</v>
      </c>
      <c r="E76" s="414">
        <f>E75/12</f>
        <v>22642.5</v>
      </c>
      <c r="F76" s="399">
        <f>ROUND(F75/12,2)</f>
        <v>25678.92</v>
      </c>
      <c r="G76" s="410">
        <f>G75/12</f>
        <v>22950.5</v>
      </c>
      <c r="H76" s="417">
        <f>ROUND(H75/12,2)</f>
        <v>26028.25</v>
      </c>
      <c r="I76" s="414">
        <f>I75/12</f>
        <v>23395.416666666668</v>
      </c>
      <c r="J76" s="399">
        <f>ROUND(J75/12,2)</f>
        <v>26532.83</v>
      </c>
      <c r="K76" s="410">
        <f>K75/12</f>
        <v>23703.416666666668</v>
      </c>
      <c r="L76" s="417">
        <f>ROUND(L75/12,2)</f>
        <v>26882.17</v>
      </c>
      <c r="M76" s="422"/>
      <c r="N76" s="400"/>
      <c r="O76" s="402">
        <f>ROUND(O75/12,2)</f>
        <v>24103.3</v>
      </c>
    </row>
    <row r="77" spans="1:15" ht="16" thickBot="1">
      <c r="A77" s="2146"/>
      <c r="B77" s="408" t="s">
        <v>226</v>
      </c>
      <c r="C77" s="200">
        <f>C75/12</f>
        <v>22197.666666666668</v>
      </c>
      <c r="D77" s="201">
        <f>ROUND(D76/160.33,2)</f>
        <v>157.02000000000001</v>
      </c>
      <c r="E77" s="415"/>
      <c r="F77" s="201">
        <f t="shared" ref="F77:O77" si="24">ROUND(F76/160.33,2)</f>
        <v>160.16</v>
      </c>
      <c r="G77" s="201">
        <f t="shared" si="24"/>
        <v>143.15</v>
      </c>
      <c r="H77" s="201">
        <f t="shared" si="24"/>
        <v>162.34</v>
      </c>
      <c r="I77" s="201">
        <f t="shared" si="24"/>
        <v>145.91999999999999</v>
      </c>
      <c r="J77" s="201">
        <f t="shared" si="24"/>
        <v>165.49</v>
      </c>
      <c r="K77" s="201">
        <f t="shared" si="24"/>
        <v>147.84</v>
      </c>
      <c r="L77" s="201">
        <f t="shared" si="24"/>
        <v>167.67</v>
      </c>
      <c r="M77" s="201">
        <f t="shared" si="24"/>
        <v>0</v>
      </c>
      <c r="N77" s="201">
        <f t="shared" si="24"/>
        <v>0</v>
      </c>
      <c r="O77" s="201">
        <f t="shared" si="24"/>
        <v>150.34</v>
      </c>
    </row>
    <row r="78" spans="1:15">
      <c r="A78" s="2144">
        <v>25</v>
      </c>
      <c r="B78" s="206" t="s">
        <v>96</v>
      </c>
      <c r="C78" s="195">
        <v>270701</v>
      </c>
      <c r="D78" s="199">
        <f>ROUND((C78*(1+'Løntabel gældende fra'!$D$7%)),0)</f>
        <v>307003</v>
      </c>
      <c r="E78" s="197">
        <v>275873</v>
      </c>
      <c r="F78" s="198">
        <f>ROUND((E78*(1+'Løntabel gældende fra'!$D$7%)),0)</f>
        <v>312869</v>
      </c>
      <c r="G78" s="195">
        <v>279454</v>
      </c>
      <c r="H78" s="199">
        <f>ROUND((G78*(1+'Løntabel gældende fra'!$D$7%)),0)</f>
        <v>316930</v>
      </c>
      <c r="I78" s="197">
        <v>284626</v>
      </c>
      <c r="J78" s="198">
        <f>ROUND((I78*(1+'Løntabel gældende fra'!$D$7%)),0)</f>
        <v>322795</v>
      </c>
      <c r="K78" s="195">
        <v>288206</v>
      </c>
      <c r="L78" s="199">
        <f>ROUND((K78*(1+'Løntabel gældende fra'!$D$7%)),0)</f>
        <v>326856</v>
      </c>
      <c r="M78" s="424"/>
      <c r="N78" s="403">
        <v>259721.7</v>
      </c>
      <c r="O78" s="404">
        <f>ROUND(N78*(1+'Løntabel gældende fra'!$D$7%),2)</f>
        <v>294551.42</v>
      </c>
    </row>
    <row r="79" spans="1:15">
      <c r="A79" s="2145"/>
      <c r="B79" s="407" t="s">
        <v>231</v>
      </c>
      <c r="C79" s="410"/>
      <c r="D79" s="417">
        <f>ROUND(D78/12,2)</f>
        <v>25583.58</v>
      </c>
      <c r="E79" s="414">
        <f>E78/12</f>
        <v>22989.416666666668</v>
      </c>
      <c r="F79" s="399">
        <f>ROUND(F78/12,2)</f>
        <v>26072.42</v>
      </c>
      <c r="G79" s="410">
        <f>G78/12</f>
        <v>23287.833333333332</v>
      </c>
      <c r="H79" s="417">
        <f>ROUND(H78/12,2)</f>
        <v>26410.83</v>
      </c>
      <c r="I79" s="414">
        <f>I78/12</f>
        <v>23718.833333333332</v>
      </c>
      <c r="J79" s="399">
        <f>ROUND(J78/12,2)</f>
        <v>26899.58</v>
      </c>
      <c r="K79" s="410">
        <f>K78/12</f>
        <v>24017.166666666668</v>
      </c>
      <c r="L79" s="417">
        <f>ROUND(L78/12,2)</f>
        <v>27238</v>
      </c>
      <c r="M79" s="422"/>
      <c r="N79" s="400"/>
      <c r="O79" s="402">
        <f>ROUND(O78/12,2)</f>
        <v>24545.95</v>
      </c>
    </row>
    <row r="80" spans="1:15" ht="16" thickBot="1">
      <c r="A80" s="2148"/>
      <c r="B80" s="409" t="s">
        <v>226</v>
      </c>
      <c r="C80" s="413">
        <f>C78/12</f>
        <v>22558.416666666668</v>
      </c>
      <c r="D80" s="201">
        <f>ROUND(D79/160.33,2)</f>
        <v>159.57</v>
      </c>
      <c r="E80" s="416"/>
      <c r="F80" s="201">
        <f t="shared" ref="F80:O80" si="25">ROUND(F79/160.33,2)</f>
        <v>162.62</v>
      </c>
      <c r="G80" s="201">
        <f t="shared" si="25"/>
        <v>145.25</v>
      </c>
      <c r="H80" s="201">
        <f t="shared" si="25"/>
        <v>164.73</v>
      </c>
      <c r="I80" s="201">
        <f t="shared" si="25"/>
        <v>147.94</v>
      </c>
      <c r="J80" s="201">
        <f t="shared" si="25"/>
        <v>167.78</v>
      </c>
      <c r="K80" s="201">
        <f t="shared" si="25"/>
        <v>149.80000000000001</v>
      </c>
      <c r="L80" s="201">
        <f t="shared" si="25"/>
        <v>169.89</v>
      </c>
      <c r="M80" s="201">
        <f t="shared" si="25"/>
        <v>0</v>
      </c>
      <c r="N80" s="201">
        <f t="shared" si="25"/>
        <v>0</v>
      </c>
      <c r="O80" s="201">
        <f t="shared" si="25"/>
        <v>153.1</v>
      </c>
    </row>
    <row r="81" spans="1:15">
      <c r="A81" s="2147">
        <v>26</v>
      </c>
      <c r="B81" s="207" t="s">
        <v>96</v>
      </c>
      <c r="C81" s="203">
        <v>275131</v>
      </c>
      <c r="D81" s="196">
        <f>ROUND((C81*(1+'Løntabel gældende fra'!$D$7%)),0)</f>
        <v>312027</v>
      </c>
      <c r="E81" s="204">
        <v>280123</v>
      </c>
      <c r="F81" s="205">
        <f>ROUND((E81*(1+'Løntabel gældende fra'!$D$7%)),0)</f>
        <v>317689</v>
      </c>
      <c r="G81" s="203">
        <v>283580</v>
      </c>
      <c r="H81" s="196">
        <f>ROUND((G81*(1+'Løntabel gældende fra'!$D$7%)),0)</f>
        <v>321609</v>
      </c>
      <c r="I81" s="204">
        <v>288573</v>
      </c>
      <c r="J81" s="205">
        <f>ROUND((I81*(1+'Løntabel gældende fra'!$D$7%)),0)</f>
        <v>327272</v>
      </c>
      <c r="K81" s="203">
        <v>292029</v>
      </c>
      <c r="L81" s="196">
        <f>ROUND((K81*(1+'Løntabel gældende fra'!$D$7%)),0)</f>
        <v>331191</v>
      </c>
      <c r="M81" s="423"/>
      <c r="N81" s="401">
        <v>264528.59000000003</v>
      </c>
      <c r="O81" s="210">
        <f>ROUND(N81*(1+'Løntabel gældende fra'!$D$7%),2)</f>
        <v>300002.93</v>
      </c>
    </row>
    <row r="82" spans="1:15">
      <c r="A82" s="2145"/>
      <c r="B82" s="407" t="s">
        <v>231</v>
      </c>
      <c r="C82" s="410"/>
      <c r="D82" s="417">
        <f>ROUND(D81/12,2)</f>
        <v>26002.25</v>
      </c>
      <c r="E82" s="414">
        <f>E81/12</f>
        <v>23343.583333333332</v>
      </c>
      <c r="F82" s="399">
        <f>ROUND(F81/12,2)</f>
        <v>26474.080000000002</v>
      </c>
      <c r="G82" s="410">
        <f>G81/12</f>
        <v>23631.666666666668</v>
      </c>
      <c r="H82" s="417">
        <f>ROUND(H81/12,2)</f>
        <v>26800.75</v>
      </c>
      <c r="I82" s="414">
        <f>I81/12</f>
        <v>24047.75</v>
      </c>
      <c r="J82" s="399">
        <f>ROUND(J81/12,2)</f>
        <v>27272.67</v>
      </c>
      <c r="K82" s="410">
        <f>K81/12</f>
        <v>24335.75</v>
      </c>
      <c r="L82" s="417">
        <f>ROUND(L81/12,2)</f>
        <v>27599.25</v>
      </c>
      <c r="M82" s="422"/>
      <c r="N82" s="400"/>
      <c r="O82" s="402">
        <f>ROUND(O81/12,2)</f>
        <v>25000.240000000002</v>
      </c>
    </row>
    <row r="83" spans="1:15" ht="16" thickBot="1">
      <c r="A83" s="2146"/>
      <c r="B83" s="408" t="s">
        <v>226</v>
      </c>
      <c r="C83" s="200">
        <f>C81/12</f>
        <v>22927.583333333332</v>
      </c>
      <c r="D83" s="201">
        <f>ROUND(D82/160.33,2)</f>
        <v>162.18</v>
      </c>
      <c r="E83" s="415"/>
      <c r="F83" s="201">
        <f t="shared" ref="F83:O83" si="26">ROUND(F82/160.33,2)</f>
        <v>165.12</v>
      </c>
      <c r="G83" s="201">
        <f t="shared" si="26"/>
        <v>147.38999999999999</v>
      </c>
      <c r="H83" s="201">
        <f t="shared" si="26"/>
        <v>167.16</v>
      </c>
      <c r="I83" s="201">
        <f t="shared" si="26"/>
        <v>149.99</v>
      </c>
      <c r="J83" s="201">
        <f t="shared" si="26"/>
        <v>170.1</v>
      </c>
      <c r="K83" s="201">
        <f t="shared" si="26"/>
        <v>151.79</v>
      </c>
      <c r="L83" s="201">
        <f t="shared" si="26"/>
        <v>172.14</v>
      </c>
      <c r="M83" s="201">
        <f t="shared" si="26"/>
        <v>0</v>
      </c>
      <c r="N83" s="201">
        <f t="shared" si="26"/>
        <v>0</v>
      </c>
      <c r="O83" s="201">
        <f t="shared" si="26"/>
        <v>155.93</v>
      </c>
    </row>
    <row r="84" spans="1:15">
      <c r="A84" s="2144">
        <v>27</v>
      </c>
      <c r="B84" s="206" t="s">
        <v>96</v>
      </c>
      <c r="C84" s="195">
        <v>279656</v>
      </c>
      <c r="D84" s="199">
        <f>ROUND((C84*(1+'Løntabel gældende fra'!$D$7%)),0)</f>
        <v>317159</v>
      </c>
      <c r="E84" s="197">
        <v>284456</v>
      </c>
      <c r="F84" s="198">
        <f>ROUND((E84*(1+'Løntabel gældende fra'!$D$7%)),0)</f>
        <v>322603</v>
      </c>
      <c r="G84" s="195">
        <v>287782</v>
      </c>
      <c r="H84" s="199">
        <f>ROUND((G84*(1+'Løntabel gældende fra'!$D$7%)),0)</f>
        <v>326375</v>
      </c>
      <c r="I84" s="197">
        <v>292583</v>
      </c>
      <c r="J84" s="198">
        <f>ROUND((I84*(1+'Løntabel gældende fra'!$D$7%)),0)</f>
        <v>331820</v>
      </c>
      <c r="K84" s="195">
        <v>295908</v>
      </c>
      <c r="L84" s="199">
        <f>ROUND((K84*(1+'Løntabel gældende fra'!$D$7%)),0)</f>
        <v>335590</v>
      </c>
      <c r="M84" s="424"/>
      <c r="N84" s="403">
        <v>269459.90000000002</v>
      </c>
      <c r="O84" s="404">
        <f>ROUND(N84*(1+'Løntabel gældende fra'!$D$7%),2)</f>
        <v>305595.55</v>
      </c>
    </row>
    <row r="85" spans="1:15">
      <c r="A85" s="2145"/>
      <c r="B85" s="407" t="s">
        <v>231</v>
      </c>
      <c r="C85" s="410"/>
      <c r="D85" s="417">
        <f>ROUND(D84/12,2)</f>
        <v>26429.919999999998</v>
      </c>
      <c r="E85" s="414">
        <f>E84/12</f>
        <v>23704.666666666668</v>
      </c>
      <c r="F85" s="399">
        <f>ROUND(F84/12,2)</f>
        <v>26883.58</v>
      </c>
      <c r="G85" s="410">
        <f>G84/12</f>
        <v>23981.833333333332</v>
      </c>
      <c r="H85" s="417">
        <f>ROUND(H84/12,2)</f>
        <v>27197.919999999998</v>
      </c>
      <c r="I85" s="414">
        <f>I84/12</f>
        <v>24381.916666666668</v>
      </c>
      <c r="J85" s="399">
        <f>ROUND(J84/12,2)</f>
        <v>27651.67</v>
      </c>
      <c r="K85" s="410">
        <f>K84/12</f>
        <v>24659</v>
      </c>
      <c r="L85" s="417">
        <f>ROUND(L84/12,2)</f>
        <v>27965.83</v>
      </c>
      <c r="M85" s="422"/>
      <c r="N85" s="400"/>
      <c r="O85" s="402">
        <f>ROUND(O84/12,2)</f>
        <v>25466.3</v>
      </c>
    </row>
    <row r="86" spans="1:15" ht="16" thickBot="1">
      <c r="A86" s="2148"/>
      <c r="B86" s="409" t="s">
        <v>226</v>
      </c>
      <c r="C86" s="413">
        <f>C84/12</f>
        <v>23304.666666666668</v>
      </c>
      <c r="D86" s="201">
        <f>ROUND(D85/160.33,2)</f>
        <v>164.85</v>
      </c>
      <c r="E86" s="416"/>
      <c r="F86" s="201">
        <f t="shared" ref="F86:O86" si="27">ROUND(F85/160.33,2)</f>
        <v>167.68</v>
      </c>
      <c r="G86" s="201">
        <f t="shared" si="27"/>
        <v>149.58000000000001</v>
      </c>
      <c r="H86" s="201">
        <f t="shared" si="27"/>
        <v>169.64</v>
      </c>
      <c r="I86" s="201">
        <f t="shared" si="27"/>
        <v>152.07</v>
      </c>
      <c r="J86" s="201">
        <f t="shared" si="27"/>
        <v>172.47</v>
      </c>
      <c r="K86" s="201">
        <f t="shared" si="27"/>
        <v>153.80000000000001</v>
      </c>
      <c r="L86" s="201">
        <f t="shared" si="27"/>
        <v>174.43</v>
      </c>
      <c r="M86" s="201">
        <f t="shared" si="27"/>
        <v>0</v>
      </c>
      <c r="N86" s="201">
        <f t="shared" si="27"/>
        <v>0</v>
      </c>
      <c r="O86" s="201">
        <f t="shared" si="27"/>
        <v>158.84</v>
      </c>
    </row>
    <row r="87" spans="1:15">
      <c r="A87" s="2147">
        <v>28</v>
      </c>
      <c r="B87" s="207" t="s">
        <v>96</v>
      </c>
      <c r="C87" s="203">
        <v>284283</v>
      </c>
      <c r="D87" s="196">
        <f>ROUND((C87*(1+'Løntabel gældende fra'!$D$7%)),0)</f>
        <v>322406</v>
      </c>
      <c r="E87" s="204">
        <v>288881</v>
      </c>
      <c r="F87" s="205">
        <f>ROUND((E87*(1+'Løntabel gældende fra'!$D$7%)),0)</f>
        <v>327621</v>
      </c>
      <c r="G87" s="203">
        <v>292064</v>
      </c>
      <c r="H87" s="196">
        <f>ROUND((G87*(1+'Løntabel gældende fra'!$D$7%)),0)</f>
        <v>331231</v>
      </c>
      <c r="I87" s="204">
        <v>296661</v>
      </c>
      <c r="J87" s="205">
        <f>ROUND((I87*(1+'Løntabel gældende fra'!$D$7%)),0)</f>
        <v>336444</v>
      </c>
      <c r="K87" s="203">
        <v>299845</v>
      </c>
      <c r="L87" s="196">
        <f>ROUND((K87*(1+'Løntabel gældende fra'!$D$7%)),0)</f>
        <v>340055</v>
      </c>
      <c r="M87" s="423"/>
      <c r="N87" s="401">
        <v>274522.23</v>
      </c>
      <c r="O87" s="210">
        <f>ROUND(N87*(1+'Løntabel gældende fra'!$D$7%),2)</f>
        <v>311336.76</v>
      </c>
    </row>
    <row r="88" spans="1:15">
      <c r="A88" s="2145"/>
      <c r="B88" s="407" t="s">
        <v>231</v>
      </c>
      <c r="C88" s="410"/>
      <c r="D88" s="417">
        <f>ROUND(D87/12,2)</f>
        <v>26867.17</v>
      </c>
      <c r="E88" s="414">
        <f>E87/12</f>
        <v>24073.416666666668</v>
      </c>
      <c r="F88" s="399">
        <f>ROUND(F87/12,2)</f>
        <v>27301.75</v>
      </c>
      <c r="G88" s="410">
        <f>G87/12</f>
        <v>24338.666666666668</v>
      </c>
      <c r="H88" s="417">
        <f>ROUND(H87/12,2)</f>
        <v>27602.58</v>
      </c>
      <c r="I88" s="414">
        <f>I87/12</f>
        <v>24721.75</v>
      </c>
      <c r="J88" s="399">
        <f>ROUND(J87/12,2)</f>
        <v>28037</v>
      </c>
      <c r="K88" s="410">
        <f>K87/12</f>
        <v>24987.083333333332</v>
      </c>
      <c r="L88" s="417">
        <f>ROUND(L87/12,2)</f>
        <v>28337.919999999998</v>
      </c>
      <c r="M88" s="422"/>
      <c r="N88" s="400"/>
      <c r="O88" s="402">
        <f>ROUND(O87/12,2)</f>
        <v>25944.73</v>
      </c>
    </row>
    <row r="89" spans="1:15" ht="16" thickBot="1">
      <c r="A89" s="2146"/>
      <c r="B89" s="408" t="s">
        <v>226</v>
      </c>
      <c r="C89" s="200">
        <f>C87/12</f>
        <v>23690.25</v>
      </c>
      <c r="D89" s="201">
        <f>ROUND(D88/160.33,2)</f>
        <v>167.57</v>
      </c>
      <c r="E89" s="201">
        <f t="shared" ref="E89:O89" si="28">ROUND(E88/160.33,2)</f>
        <v>150.15</v>
      </c>
      <c r="F89" s="201">
        <f t="shared" si="28"/>
        <v>170.28</v>
      </c>
      <c r="G89" s="201">
        <f t="shared" si="28"/>
        <v>151.80000000000001</v>
      </c>
      <c r="H89" s="201">
        <f t="shared" si="28"/>
        <v>172.16</v>
      </c>
      <c r="I89" s="201">
        <f t="shared" si="28"/>
        <v>154.19</v>
      </c>
      <c r="J89" s="201">
        <f t="shared" si="28"/>
        <v>174.87</v>
      </c>
      <c r="K89" s="201">
        <f t="shared" si="28"/>
        <v>155.85</v>
      </c>
      <c r="L89" s="201">
        <f t="shared" si="28"/>
        <v>176.75</v>
      </c>
      <c r="M89" s="201">
        <f t="shared" si="28"/>
        <v>0</v>
      </c>
      <c r="N89" s="201">
        <f t="shared" si="28"/>
        <v>0</v>
      </c>
      <c r="O89" s="201">
        <f t="shared" si="28"/>
        <v>161.82</v>
      </c>
    </row>
    <row r="90" spans="1:15">
      <c r="A90" s="2144">
        <v>29</v>
      </c>
      <c r="B90" s="206" t="s">
        <v>96</v>
      </c>
      <c r="C90" s="195">
        <v>289014</v>
      </c>
      <c r="D90" s="199">
        <f>ROUND((C90*(1+'Løntabel gældende fra'!$D$7%)),0)</f>
        <v>327772</v>
      </c>
      <c r="E90" s="197">
        <v>293394</v>
      </c>
      <c r="F90" s="198">
        <f>ROUND((E90*(1+'Løntabel gældende fra'!$D$7%)),0)</f>
        <v>332739</v>
      </c>
      <c r="G90" s="195">
        <v>296427</v>
      </c>
      <c r="H90" s="199">
        <f>ROUND((G90*(1+'Løntabel gældende fra'!$D$7%)),0)</f>
        <v>336179</v>
      </c>
      <c r="I90" s="197">
        <v>300807</v>
      </c>
      <c r="J90" s="198">
        <f>ROUND((I90*(1+'Løntabel gældende fra'!$D$7%)),0)</f>
        <v>341146</v>
      </c>
      <c r="K90" s="195">
        <v>303839</v>
      </c>
      <c r="L90" s="199">
        <f>ROUND((K90*(1+'Løntabel gældende fra'!$D$7%)),0)</f>
        <v>344585</v>
      </c>
      <c r="M90" s="424"/>
      <c r="N90" s="403">
        <v>279714.99</v>
      </c>
      <c r="O90" s="404">
        <f>ROUND(N90*(1+'Løntabel gældende fra'!$D$7%),2)</f>
        <v>317225.89</v>
      </c>
    </row>
    <row r="91" spans="1:15">
      <c r="A91" s="2145"/>
      <c r="B91" s="407" t="s">
        <v>231</v>
      </c>
      <c r="C91" s="410"/>
      <c r="D91" s="417">
        <f>ROUND(D90/12,2)</f>
        <v>27314.33</v>
      </c>
      <c r="E91" s="414">
        <f>E90/12</f>
        <v>24449.5</v>
      </c>
      <c r="F91" s="399">
        <f>ROUND(F90/12,2)</f>
        <v>27728.25</v>
      </c>
      <c r="G91" s="410">
        <f>G90/12</f>
        <v>24702.25</v>
      </c>
      <c r="H91" s="417">
        <f>ROUND(H90/12,2)</f>
        <v>28014.92</v>
      </c>
      <c r="I91" s="414">
        <f>I90/12</f>
        <v>25067.25</v>
      </c>
      <c r="J91" s="399">
        <f>ROUND(J90/12,2)</f>
        <v>28428.83</v>
      </c>
      <c r="K91" s="410">
        <f>K90/12</f>
        <v>25319.916666666668</v>
      </c>
      <c r="L91" s="417">
        <f>ROUND(L90/12,2)</f>
        <v>28715.42</v>
      </c>
      <c r="M91" s="422"/>
      <c r="N91" s="400"/>
      <c r="O91" s="402">
        <f>ROUND(O90/12,2)</f>
        <v>26435.49</v>
      </c>
    </row>
    <row r="92" spans="1:15" ht="16" thickBot="1">
      <c r="A92" s="2148"/>
      <c r="B92" s="409" t="s">
        <v>226</v>
      </c>
      <c r="C92" s="413">
        <f>C90/12</f>
        <v>24084.5</v>
      </c>
      <c r="D92" s="201">
        <f>ROUND(D91/160.33,2)</f>
        <v>170.36</v>
      </c>
      <c r="E92" s="416"/>
      <c r="F92" s="201">
        <f t="shared" ref="F92:O92" si="29">ROUND(F91/160.33,2)</f>
        <v>172.94</v>
      </c>
      <c r="G92" s="201">
        <f t="shared" si="29"/>
        <v>154.07</v>
      </c>
      <c r="H92" s="201">
        <f t="shared" si="29"/>
        <v>174.73</v>
      </c>
      <c r="I92" s="201">
        <f t="shared" si="29"/>
        <v>156.35</v>
      </c>
      <c r="J92" s="201">
        <f t="shared" si="29"/>
        <v>177.31</v>
      </c>
      <c r="K92" s="201">
        <f t="shared" si="29"/>
        <v>157.91999999999999</v>
      </c>
      <c r="L92" s="201">
        <f t="shared" si="29"/>
        <v>179.1</v>
      </c>
      <c r="M92" s="201">
        <f t="shared" si="29"/>
        <v>0</v>
      </c>
      <c r="N92" s="201">
        <f t="shared" si="29"/>
        <v>0</v>
      </c>
      <c r="O92" s="201">
        <f t="shared" si="29"/>
        <v>164.88</v>
      </c>
    </row>
    <row r="93" spans="1:15">
      <c r="A93" s="2147">
        <v>30</v>
      </c>
      <c r="B93" s="207" t="s">
        <v>96</v>
      </c>
      <c r="C93" s="203">
        <v>293853</v>
      </c>
      <c r="D93" s="196">
        <f>ROUND((C93*(1+'Løntabel gældende fra'!$D$7%)),0)</f>
        <v>333260</v>
      </c>
      <c r="E93" s="204">
        <v>298001</v>
      </c>
      <c r="F93" s="205">
        <f>ROUND((E93*(1+'Løntabel gældende fra'!$D$7%)),0)</f>
        <v>337964</v>
      </c>
      <c r="G93" s="203">
        <v>300872</v>
      </c>
      <c r="H93" s="196">
        <f>ROUND((G93*(1+'Løntabel gældende fra'!$D$7%)),0)</f>
        <v>341220</v>
      </c>
      <c r="I93" s="204">
        <v>305018</v>
      </c>
      <c r="J93" s="205">
        <f>ROUND((I93*(1+'Løntabel gældende fra'!$D$7%)),0)</f>
        <v>345922</v>
      </c>
      <c r="K93" s="203">
        <v>307890</v>
      </c>
      <c r="L93" s="196">
        <f>ROUND((K93*(1+'Løntabel gældende fra'!$D$7%)),0)</f>
        <v>349179</v>
      </c>
      <c r="M93" s="423"/>
      <c r="N93" s="401">
        <v>285044.74</v>
      </c>
      <c r="O93" s="210">
        <f>ROUND(N93*(1+'Løntabel gældende fra'!$D$7%),2)</f>
        <v>323270.38</v>
      </c>
    </row>
    <row r="94" spans="1:15">
      <c r="A94" s="2145"/>
      <c r="B94" s="407" t="s">
        <v>97</v>
      </c>
      <c r="C94" s="410"/>
      <c r="D94" s="417">
        <f>ROUND(D93/12,2)</f>
        <v>27771.67</v>
      </c>
      <c r="E94" s="414">
        <f>E93/12</f>
        <v>24833.416666666668</v>
      </c>
      <c r="F94" s="399">
        <f>ROUND(F93/12,2)</f>
        <v>28163.67</v>
      </c>
      <c r="G94" s="410">
        <f>G93/12</f>
        <v>25072.666666666668</v>
      </c>
      <c r="H94" s="417">
        <f>ROUND(H93/12,2)</f>
        <v>28435</v>
      </c>
      <c r="I94" s="414">
        <f>I93/12</f>
        <v>25418.166666666668</v>
      </c>
      <c r="J94" s="399">
        <f>ROUND(J93/12,2)</f>
        <v>28826.83</v>
      </c>
      <c r="K94" s="410">
        <f>K93/12</f>
        <v>25657.5</v>
      </c>
      <c r="L94" s="417">
        <f>ROUND(L93/12,2)</f>
        <v>29098.25</v>
      </c>
      <c r="M94" s="422"/>
      <c r="N94" s="400"/>
      <c r="O94" s="402">
        <f>ROUND(O93/12,2)</f>
        <v>26939.200000000001</v>
      </c>
    </row>
    <row r="95" spans="1:15" ht="16" thickBot="1">
      <c r="A95" s="2146"/>
      <c r="B95" s="408" t="s">
        <v>226</v>
      </c>
      <c r="C95" s="200">
        <f>C93/12</f>
        <v>24487.75</v>
      </c>
      <c r="D95" s="201">
        <f>ROUND(D94/160.33,2)</f>
        <v>173.22</v>
      </c>
      <c r="E95" s="415"/>
      <c r="F95" s="201">
        <f t="shared" ref="F95:O95" si="30">ROUND(F94/160.33,2)</f>
        <v>175.66</v>
      </c>
      <c r="G95" s="201">
        <f t="shared" si="30"/>
        <v>156.38</v>
      </c>
      <c r="H95" s="201">
        <f t="shared" si="30"/>
        <v>177.35</v>
      </c>
      <c r="I95" s="201">
        <f t="shared" si="30"/>
        <v>158.54</v>
      </c>
      <c r="J95" s="201">
        <f t="shared" si="30"/>
        <v>179.8</v>
      </c>
      <c r="K95" s="201">
        <f t="shared" si="30"/>
        <v>160.03</v>
      </c>
      <c r="L95" s="201">
        <f t="shared" si="30"/>
        <v>181.49</v>
      </c>
      <c r="M95" s="201">
        <f t="shared" si="30"/>
        <v>0</v>
      </c>
      <c r="N95" s="201">
        <f t="shared" si="30"/>
        <v>0</v>
      </c>
      <c r="O95" s="201">
        <f t="shared" si="30"/>
        <v>168.02</v>
      </c>
    </row>
    <row r="96" spans="1:15">
      <c r="A96" s="2144">
        <v>31</v>
      </c>
      <c r="B96" s="206" t="s">
        <v>96</v>
      </c>
      <c r="C96" s="195">
        <v>298795</v>
      </c>
      <c r="D96" s="199">
        <f>ROUND((C96*(1+'Løntabel gældende fra'!$D$7%)),0)</f>
        <v>338865</v>
      </c>
      <c r="E96" s="197">
        <v>302696</v>
      </c>
      <c r="F96" s="198">
        <f>ROUND((E96*(1+'Løntabel gældende fra'!$D$7%)),0)</f>
        <v>343289</v>
      </c>
      <c r="G96" s="195">
        <v>305398</v>
      </c>
      <c r="H96" s="199">
        <f>ROUND((G96*(1+'Løntabel gældende fra'!$D$7%)),0)</f>
        <v>346353</v>
      </c>
      <c r="I96" s="197">
        <v>309299</v>
      </c>
      <c r="J96" s="198">
        <f>ROUND((I96*(1+'Løntabel gældende fra'!$D$7%)),0)</f>
        <v>350777</v>
      </c>
      <c r="K96" s="195">
        <v>312000</v>
      </c>
      <c r="L96" s="199">
        <f>ROUND((K96*(1+'Løntabel gældende fra'!$D$7%)),0)</f>
        <v>353840</v>
      </c>
      <c r="M96" s="424"/>
      <c r="N96" s="403">
        <v>290512.64000000001</v>
      </c>
      <c r="O96" s="404">
        <f>ROUND(N96*(1+'Løntabel gældende fra'!$D$7%),2)</f>
        <v>329471.55</v>
      </c>
    </row>
    <row r="97" spans="1:15">
      <c r="A97" s="2145"/>
      <c r="B97" s="407" t="s">
        <v>231</v>
      </c>
      <c r="C97" s="410"/>
      <c r="D97" s="417">
        <f>ROUND(D96/12,2)</f>
        <v>28238.75</v>
      </c>
      <c r="E97" s="414">
        <f>E96/12</f>
        <v>25224.666666666668</v>
      </c>
      <c r="F97" s="399">
        <f>ROUND(F96/12,2)</f>
        <v>28607.42</v>
      </c>
      <c r="G97" s="410">
        <f>G96/12</f>
        <v>25449.833333333332</v>
      </c>
      <c r="H97" s="417">
        <f>ROUND(H96/12,2)</f>
        <v>28862.75</v>
      </c>
      <c r="I97" s="414">
        <f>I96/12</f>
        <v>25774.916666666668</v>
      </c>
      <c r="J97" s="399">
        <f>ROUND(J96/12,2)</f>
        <v>29231.42</v>
      </c>
      <c r="K97" s="410">
        <f>K96/12</f>
        <v>26000</v>
      </c>
      <c r="L97" s="417">
        <f>ROUND(L96/12,2)</f>
        <v>29486.67</v>
      </c>
      <c r="M97" s="422"/>
      <c r="N97" s="400"/>
      <c r="O97" s="402">
        <f>ROUND(O96/12,2)</f>
        <v>27455.96</v>
      </c>
    </row>
    <row r="98" spans="1:15" ht="16" thickBot="1">
      <c r="A98" s="2148"/>
      <c r="B98" s="409" t="s">
        <v>226</v>
      </c>
      <c r="C98" s="413">
        <f>C96/12</f>
        <v>24899.583333333332</v>
      </c>
      <c r="D98" s="201">
        <f>ROUND(D97/160.33,2)</f>
        <v>176.13</v>
      </c>
      <c r="E98" s="416"/>
      <c r="F98" s="201">
        <f t="shared" ref="F98:O98" si="31">ROUND(F97/160.33,2)</f>
        <v>178.43</v>
      </c>
      <c r="G98" s="201">
        <f t="shared" si="31"/>
        <v>158.72999999999999</v>
      </c>
      <c r="H98" s="201">
        <f t="shared" si="31"/>
        <v>180.02</v>
      </c>
      <c r="I98" s="201">
        <f t="shared" si="31"/>
        <v>160.76</v>
      </c>
      <c r="J98" s="201">
        <f t="shared" si="31"/>
        <v>182.32</v>
      </c>
      <c r="K98" s="201">
        <f t="shared" si="31"/>
        <v>162.16999999999999</v>
      </c>
      <c r="L98" s="201">
        <f t="shared" si="31"/>
        <v>183.91</v>
      </c>
      <c r="M98" s="201">
        <f t="shared" si="31"/>
        <v>0</v>
      </c>
      <c r="N98" s="201">
        <f t="shared" si="31"/>
        <v>0</v>
      </c>
      <c r="O98" s="201">
        <f t="shared" si="31"/>
        <v>171.25</v>
      </c>
    </row>
    <row r="99" spans="1:15">
      <c r="A99" s="2147">
        <v>32</v>
      </c>
      <c r="B99" s="207" t="s">
        <v>96</v>
      </c>
      <c r="C99" s="203">
        <v>303852</v>
      </c>
      <c r="D99" s="196">
        <f>ROUND((C99*(1+'Løntabel gældende fra'!$D$7%)),0)</f>
        <v>344600</v>
      </c>
      <c r="E99" s="204">
        <v>307490</v>
      </c>
      <c r="F99" s="205">
        <f>ROUND((E99*(1+'Løntabel gældende fra'!$D$7%)),0)</f>
        <v>348726</v>
      </c>
      <c r="G99" s="203">
        <v>310009</v>
      </c>
      <c r="H99" s="196">
        <f>ROUND((G99*(1+'Løntabel gældende fra'!$D$7%)),0)</f>
        <v>351582</v>
      </c>
      <c r="I99" s="204">
        <v>313649</v>
      </c>
      <c r="J99" s="205">
        <f>ROUND((I99*(1+'Løntabel gældende fra'!$D$7%)),0)</f>
        <v>355711</v>
      </c>
      <c r="K99" s="203">
        <v>316167</v>
      </c>
      <c r="L99" s="196">
        <f>ROUND((K99*(1+'Løntabel gældende fra'!$D$7%)),0)</f>
        <v>358566</v>
      </c>
      <c r="M99" s="423"/>
      <c r="N99" s="401">
        <v>296125.21000000002</v>
      </c>
      <c r="O99" s="210">
        <f>ROUND(N99*(1+'Løntabel gældende fra'!$D$7%),2)</f>
        <v>335836.79</v>
      </c>
    </row>
    <row r="100" spans="1:15">
      <c r="A100" s="2145"/>
      <c r="B100" s="407" t="s">
        <v>97</v>
      </c>
      <c r="C100" s="410"/>
      <c r="D100" s="417">
        <f>ROUND(D99/12,2)</f>
        <v>28716.67</v>
      </c>
      <c r="E100" s="414">
        <f>E99/12</f>
        <v>25624.166666666668</v>
      </c>
      <c r="F100" s="399">
        <f>ROUND(F99/12,2)</f>
        <v>29060.5</v>
      </c>
      <c r="G100" s="410">
        <f>G99/12</f>
        <v>25834.083333333332</v>
      </c>
      <c r="H100" s="417">
        <f>ROUND(H99/12,2)</f>
        <v>29298.5</v>
      </c>
      <c r="I100" s="414">
        <f>I99/12</f>
        <v>26137.416666666668</v>
      </c>
      <c r="J100" s="399">
        <f>ROUND(J99/12,2)</f>
        <v>29642.58</v>
      </c>
      <c r="K100" s="410">
        <f>K99/12</f>
        <v>26347.25</v>
      </c>
      <c r="L100" s="417">
        <f>ROUND(L99/12,2)</f>
        <v>29880.5</v>
      </c>
      <c r="M100" s="422"/>
      <c r="N100" s="400"/>
      <c r="O100" s="402">
        <f>ROUND(O99/12,2)</f>
        <v>27986.400000000001</v>
      </c>
    </row>
    <row r="101" spans="1:15" ht="16" thickBot="1">
      <c r="A101" s="2146"/>
      <c r="B101" s="408" t="s">
        <v>226</v>
      </c>
      <c r="C101" s="200">
        <f>C99/12</f>
        <v>25321</v>
      </c>
      <c r="D101" s="201">
        <f>ROUND(D100/160.33,2)</f>
        <v>179.11</v>
      </c>
      <c r="E101" s="415"/>
      <c r="F101" s="201">
        <f t="shared" ref="F101:O101" si="32">ROUND(F100/160.33,2)</f>
        <v>181.25</v>
      </c>
      <c r="G101" s="201">
        <f t="shared" si="32"/>
        <v>161.13</v>
      </c>
      <c r="H101" s="201">
        <f t="shared" si="32"/>
        <v>182.74</v>
      </c>
      <c r="I101" s="201">
        <f t="shared" si="32"/>
        <v>163.02000000000001</v>
      </c>
      <c r="J101" s="201">
        <f t="shared" si="32"/>
        <v>184.88</v>
      </c>
      <c r="K101" s="201">
        <f t="shared" si="32"/>
        <v>164.33</v>
      </c>
      <c r="L101" s="201">
        <f t="shared" si="32"/>
        <v>186.37</v>
      </c>
      <c r="M101" s="201">
        <f t="shared" si="32"/>
        <v>0</v>
      </c>
      <c r="N101" s="201">
        <f t="shared" si="32"/>
        <v>0</v>
      </c>
      <c r="O101" s="201">
        <f t="shared" si="32"/>
        <v>174.55</v>
      </c>
    </row>
    <row r="102" spans="1:15">
      <c r="A102" s="2144">
        <v>33</v>
      </c>
      <c r="B102" s="206" t="s">
        <v>96</v>
      </c>
      <c r="C102" s="195">
        <v>309016</v>
      </c>
      <c r="D102" s="199">
        <f>ROUND((C102*(1+'Løntabel gældende fra'!$D$7%)),0)</f>
        <v>350456</v>
      </c>
      <c r="E102" s="197">
        <v>312375</v>
      </c>
      <c r="F102" s="198">
        <f>ROUND((E102*(1+'Løntabel gældende fra'!$D$7%)),0)</f>
        <v>354266</v>
      </c>
      <c r="G102" s="195">
        <v>314703</v>
      </c>
      <c r="H102" s="199">
        <f>ROUND((G102*(1+'Løntabel gældende fra'!$D$7%)),0)</f>
        <v>356906</v>
      </c>
      <c r="I102" s="197">
        <v>318063</v>
      </c>
      <c r="J102" s="198">
        <f>ROUND((I102*(1+'Løntabel gældende fra'!$D$7%)),0)</f>
        <v>360717</v>
      </c>
      <c r="K102" s="195">
        <v>320390</v>
      </c>
      <c r="L102" s="199">
        <f>ROUND((K102*(1+'Løntabel gældende fra'!$D$7%)),0)</f>
        <v>363356</v>
      </c>
      <c r="M102" s="424"/>
      <c r="N102" s="403">
        <v>301881.8</v>
      </c>
      <c r="O102" s="404">
        <f>ROUND(N102*(1+'Løntabel gældende fra'!$D$7%),2)</f>
        <v>342365.36</v>
      </c>
    </row>
    <row r="103" spans="1:15">
      <c r="A103" s="2145"/>
      <c r="B103" s="407" t="s">
        <v>231</v>
      </c>
      <c r="C103" s="410"/>
      <c r="D103" s="417">
        <f>ROUND(D102/12,2)</f>
        <v>29204.67</v>
      </c>
      <c r="E103" s="414">
        <f>E102/12</f>
        <v>26031.25</v>
      </c>
      <c r="F103" s="399">
        <f>ROUND(F102/12,2)</f>
        <v>29522.17</v>
      </c>
      <c r="G103" s="410">
        <f>G102/12</f>
        <v>26225.25</v>
      </c>
      <c r="H103" s="417">
        <f>ROUND(H102/12,2)</f>
        <v>29742.17</v>
      </c>
      <c r="I103" s="414">
        <f>I102/12</f>
        <v>26505.25</v>
      </c>
      <c r="J103" s="399">
        <f>ROUND(J102/12,2)</f>
        <v>30059.75</v>
      </c>
      <c r="K103" s="410">
        <f>K102/12</f>
        <v>26699.166666666668</v>
      </c>
      <c r="L103" s="417">
        <f>ROUND(L102/12,2)</f>
        <v>30279.67</v>
      </c>
      <c r="M103" s="422"/>
      <c r="N103" s="400"/>
      <c r="O103" s="402">
        <f>ROUND(O102/12,2)</f>
        <v>28530.45</v>
      </c>
    </row>
    <row r="104" spans="1:15" ht="16" thickBot="1">
      <c r="A104" s="2148"/>
      <c r="B104" s="409" t="s">
        <v>226</v>
      </c>
      <c r="C104" s="413">
        <f>C102/12</f>
        <v>25751.333333333332</v>
      </c>
      <c r="D104" s="201">
        <f>ROUND(D103/160.33,2)</f>
        <v>182.15</v>
      </c>
      <c r="E104" s="416"/>
      <c r="F104" s="201">
        <f t="shared" ref="F104:O104" si="33">ROUND(F103/160.33,2)</f>
        <v>184.13</v>
      </c>
      <c r="G104" s="201">
        <f t="shared" si="33"/>
        <v>163.57</v>
      </c>
      <c r="H104" s="201">
        <f t="shared" si="33"/>
        <v>185.51</v>
      </c>
      <c r="I104" s="201">
        <f t="shared" si="33"/>
        <v>165.32</v>
      </c>
      <c r="J104" s="201">
        <f t="shared" si="33"/>
        <v>187.49</v>
      </c>
      <c r="K104" s="201">
        <f t="shared" si="33"/>
        <v>166.53</v>
      </c>
      <c r="L104" s="201">
        <f t="shared" si="33"/>
        <v>188.86</v>
      </c>
      <c r="M104" s="201">
        <f t="shared" si="33"/>
        <v>0</v>
      </c>
      <c r="N104" s="201">
        <f t="shared" si="33"/>
        <v>0</v>
      </c>
      <c r="O104" s="201">
        <f t="shared" si="33"/>
        <v>177.95</v>
      </c>
    </row>
    <row r="105" spans="1:15">
      <c r="A105" s="2147">
        <v>34</v>
      </c>
      <c r="B105" s="207" t="s">
        <v>96</v>
      </c>
      <c r="C105" s="203">
        <v>314298</v>
      </c>
      <c r="D105" s="196">
        <f>ROUND((C105*(1+'Løntabel gældende fra'!$D$7%)),0)</f>
        <v>356447</v>
      </c>
      <c r="E105" s="204">
        <v>317363</v>
      </c>
      <c r="F105" s="205">
        <f>ROUND((E105*(1+'Løntabel gældende fra'!$D$7%)),0)</f>
        <v>359923</v>
      </c>
      <c r="G105" s="203">
        <v>319485</v>
      </c>
      <c r="H105" s="196">
        <f>ROUND((G105*(1+'Løntabel gældende fra'!$D$7%)),0)</f>
        <v>362329</v>
      </c>
      <c r="I105" s="204">
        <v>322548</v>
      </c>
      <c r="J105" s="205">
        <f>ROUND((I105*(1+'Løntabel gældende fra'!$D$7%)),0)</f>
        <v>365803</v>
      </c>
      <c r="K105" s="203">
        <v>324670</v>
      </c>
      <c r="L105" s="196">
        <f>ROUND((K105*(1+'Løntabel gældende fra'!$D$7%)),0)</f>
        <v>368210</v>
      </c>
      <c r="M105" s="423"/>
      <c r="N105" s="401">
        <v>307790.62</v>
      </c>
      <c r="O105" s="210">
        <f>ROUND(N105*(1+'Løntabel gældende fra'!$D$7%),2)</f>
        <v>349066.57</v>
      </c>
    </row>
    <row r="106" spans="1:15">
      <c r="A106" s="2145"/>
      <c r="B106" s="407" t="s">
        <v>231</v>
      </c>
      <c r="C106" s="410"/>
      <c r="D106" s="417">
        <f>ROUND(D105/12,2)</f>
        <v>29703.919999999998</v>
      </c>
      <c r="E106" s="414">
        <f>E105/12</f>
        <v>26446.916666666668</v>
      </c>
      <c r="F106" s="399">
        <f>ROUND(F105/12,2)</f>
        <v>29993.58</v>
      </c>
      <c r="G106" s="410">
        <f>G105/12</f>
        <v>26623.75</v>
      </c>
      <c r="H106" s="417">
        <f>ROUND(H105/12,2)</f>
        <v>30194.080000000002</v>
      </c>
      <c r="I106" s="414">
        <f>I105/12</f>
        <v>26879</v>
      </c>
      <c r="J106" s="399">
        <f>ROUND(J105/12,2)</f>
        <v>30483.58</v>
      </c>
      <c r="K106" s="410">
        <f>K105/12</f>
        <v>27055.833333333332</v>
      </c>
      <c r="L106" s="417">
        <f>ROUND(L105/12,2)</f>
        <v>30684.17</v>
      </c>
      <c r="M106" s="422"/>
      <c r="N106" s="400"/>
      <c r="O106" s="402">
        <f>ROUND(O105/12,2)</f>
        <v>29088.880000000001</v>
      </c>
    </row>
    <row r="107" spans="1:15" ht="16" thickBot="1">
      <c r="A107" s="2146"/>
      <c r="B107" s="408" t="s">
        <v>226</v>
      </c>
      <c r="C107" s="200">
        <f>C105/12</f>
        <v>26191.5</v>
      </c>
      <c r="D107" s="201">
        <f>ROUND(D106/160.33,2)</f>
        <v>185.27</v>
      </c>
      <c r="E107" s="415"/>
      <c r="F107" s="201">
        <f t="shared" ref="F107:O107" si="34">ROUND(F106/160.33,2)</f>
        <v>187.07</v>
      </c>
      <c r="G107" s="201">
        <f t="shared" si="34"/>
        <v>166.06</v>
      </c>
      <c r="H107" s="201">
        <f t="shared" si="34"/>
        <v>188.32</v>
      </c>
      <c r="I107" s="201">
        <f t="shared" si="34"/>
        <v>167.65</v>
      </c>
      <c r="J107" s="201">
        <f t="shared" si="34"/>
        <v>190.13</v>
      </c>
      <c r="K107" s="201">
        <f t="shared" si="34"/>
        <v>168.75</v>
      </c>
      <c r="L107" s="201">
        <f t="shared" si="34"/>
        <v>191.38</v>
      </c>
      <c r="M107" s="201">
        <f t="shared" si="34"/>
        <v>0</v>
      </c>
      <c r="N107" s="201">
        <f t="shared" si="34"/>
        <v>0</v>
      </c>
      <c r="O107" s="201">
        <f t="shared" si="34"/>
        <v>181.43</v>
      </c>
    </row>
    <row r="108" spans="1:15">
      <c r="A108" s="2144">
        <v>35</v>
      </c>
      <c r="B108" s="206" t="s">
        <v>96</v>
      </c>
      <c r="C108" s="195">
        <v>319697</v>
      </c>
      <c r="D108" s="199">
        <f>ROUND((C108*(1+'Løntabel gældende fra'!$D$7%)),0)</f>
        <v>362570</v>
      </c>
      <c r="E108" s="197">
        <v>322450</v>
      </c>
      <c r="F108" s="198">
        <f>ROUND((E108*(1+'Løntabel gældende fra'!$D$7%)),0)</f>
        <v>365692</v>
      </c>
      <c r="G108" s="195">
        <v>324354</v>
      </c>
      <c r="H108" s="199">
        <f>ROUND((G108*(1+'Løntabel gældende fra'!$D$7%)),0)</f>
        <v>367851</v>
      </c>
      <c r="I108" s="197">
        <v>327107</v>
      </c>
      <c r="J108" s="198">
        <f>ROUND((I108*(1+'Løntabel gældende fra'!$D$7%)),0)</f>
        <v>370973</v>
      </c>
      <c r="K108" s="195">
        <v>329011</v>
      </c>
      <c r="L108" s="199">
        <f>ROUND((K108*(1+'Løntabel gældende fra'!$D$7%)),0)</f>
        <v>373133</v>
      </c>
      <c r="M108" s="424"/>
      <c r="N108" s="403">
        <v>313854.56</v>
      </c>
      <c r="O108" s="404">
        <f>ROUND(N108*(1+'Løntabel gældende fra'!$D$7%),2)</f>
        <v>355943.71</v>
      </c>
    </row>
    <row r="109" spans="1:15">
      <c r="A109" s="2145"/>
      <c r="B109" s="407" t="s">
        <v>231</v>
      </c>
      <c r="C109" s="410"/>
      <c r="D109" s="417">
        <f>ROUND(D108/12,2)</f>
        <v>30214.17</v>
      </c>
      <c r="E109" s="414">
        <f>E108/12</f>
        <v>26870.833333333332</v>
      </c>
      <c r="F109" s="399">
        <f>ROUND(F108/12,2)</f>
        <v>30474.33</v>
      </c>
      <c r="G109" s="410">
        <f>G108/12</f>
        <v>27029.5</v>
      </c>
      <c r="H109" s="417">
        <f>ROUND(H108/12,2)</f>
        <v>30654.25</v>
      </c>
      <c r="I109" s="414">
        <f>I108/12</f>
        <v>27258.916666666668</v>
      </c>
      <c r="J109" s="399">
        <f>ROUND(J108/12,2)</f>
        <v>30914.42</v>
      </c>
      <c r="K109" s="410">
        <f>K108/12</f>
        <v>27417.583333333332</v>
      </c>
      <c r="L109" s="417">
        <f>ROUND(L108/12,2)</f>
        <v>31094.42</v>
      </c>
      <c r="M109" s="422"/>
      <c r="N109" s="400"/>
      <c r="O109" s="402">
        <f>ROUND(O108/12,2)</f>
        <v>29661.98</v>
      </c>
    </row>
    <row r="110" spans="1:15" ht="16" thickBot="1">
      <c r="A110" s="2148"/>
      <c r="B110" s="409" t="s">
        <v>226</v>
      </c>
      <c r="C110" s="413">
        <f>C108/12</f>
        <v>26641.416666666668</v>
      </c>
      <c r="D110" s="201">
        <f>ROUND(D109/160.33,2)</f>
        <v>188.45</v>
      </c>
      <c r="E110" s="416"/>
      <c r="F110" s="201">
        <f t="shared" ref="F110:O110" si="35">ROUND(F109/160.33,2)</f>
        <v>190.07</v>
      </c>
      <c r="G110" s="201">
        <f t="shared" si="35"/>
        <v>168.59</v>
      </c>
      <c r="H110" s="201">
        <f t="shared" si="35"/>
        <v>191.19</v>
      </c>
      <c r="I110" s="201">
        <f t="shared" si="35"/>
        <v>170.02</v>
      </c>
      <c r="J110" s="201">
        <f t="shared" si="35"/>
        <v>192.82</v>
      </c>
      <c r="K110" s="201">
        <f t="shared" si="35"/>
        <v>171.01</v>
      </c>
      <c r="L110" s="201">
        <f t="shared" si="35"/>
        <v>193.94</v>
      </c>
      <c r="M110" s="201">
        <f t="shared" si="35"/>
        <v>0</v>
      </c>
      <c r="N110" s="201">
        <f t="shared" si="35"/>
        <v>0</v>
      </c>
      <c r="O110" s="201">
        <f t="shared" si="35"/>
        <v>185.01</v>
      </c>
    </row>
    <row r="111" spans="1:15">
      <c r="A111" s="2147">
        <v>36</v>
      </c>
      <c r="B111" s="207" t="s">
        <v>96</v>
      </c>
      <c r="C111" s="203">
        <v>325214</v>
      </c>
      <c r="D111" s="196">
        <f>ROUND((C111*(1+'Løntabel gældende fra'!$D$7%)),0)</f>
        <v>368826</v>
      </c>
      <c r="E111" s="204">
        <v>327634</v>
      </c>
      <c r="F111" s="205">
        <f>ROUND((E111*(1+'Løntabel gældende fra'!$D$7%)),0)</f>
        <v>371571</v>
      </c>
      <c r="G111" s="203">
        <v>329310</v>
      </c>
      <c r="H111" s="196">
        <f>ROUND((G111*(1+'Løntabel gældende fra'!$D$7%)),0)</f>
        <v>373472</v>
      </c>
      <c r="I111" s="204">
        <v>331731</v>
      </c>
      <c r="J111" s="205">
        <f>ROUND((I111*(1+'Løntabel gældende fra'!$D$7%)),0)</f>
        <v>376217</v>
      </c>
      <c r="K111" s="203">
        <v>333406</v>
      </c>
      <c r="L111" s="196">
        <f>ROUND((K111*(1+'Løntabel gældende fra'!$D$7%)),0)</f>
        <v>378117</v>
      </c>
      <c r="M111" s="423"/>
      <c r="N111" s="401">
        <v>320074.68</v>
      </c>
      <c r="O111" s="210">
        <f>ROUND(N111*(1+'Løntabel gældende fra'!$D$7%),2)</f>
        <v>362997.97</v>
      </c>
    </row>
    <row r="112" spans="1:15">
      <c r="A112" s="2145"/>
      <c r="B112" s="407" t="s">
        <v>231</v>
      </c>
      <c r="C112" s="410"/>
      <c r="D112" s="417">
        <f>ROUND(D111/12,2)</f>
        <v>30735.5</v>
      </c>
      <c r="E112" s="414">
        <f>E111/12</f>
        <v>27302.833333333332</v>
      </c>
      <c r="F112" s="399">
        <f>ROUND(F111/12,2)</f>
        <v>30964.25</v>
      </c>
      <c r="G112" s="410">
        <f>G111/12</f>
        <v>27442.5</v>
      </c>
      <c r="H112" s="417">
        <f>ROUND(H111/12,2)</f>
        <v>31122.67</v>
      </c>
      <c r="I112" s="414">
        <f>I111/12</f>
        <v>27644.25</v>
      </c>
      <c r="J112" s="399">
        <f>ROUND(J111/12,2)</f>
        <v>31351.42</v>
      </c>
      <c r="K112" s="410">
        <f>K111/12</f>
        <v>27783.833333333332</v>
      </c>
      <c r="L112" s="417">
        <f>ROUND(L111/12,2)</f>
        <v>31509.75</v>
      </c>
      <c r="M112" s="422"/>
      <c r="N112" s="400"/>
      <c r="O112" s="402">
        <f>ROUND(O111/12,2)</f>
        <v>30249.83</v>
      </c>
    </row>
    <row r="113" spans="1:15" ht="16" thickBot="1">
      <c r="A113" s="2146"/>
      <c r="B113" s="408" t="s">
        <v>226</v>
      </c>
      <c r="C113" s="200">
        <f>C111/12</f>
        <v>27101.166666666668</v>
      </c>
      <c r="D113" s="201">
        <f>ROUND(D112/160.33,2)</f>
        <v>191.7</v>
      </c>
      <c r="E113" s="415"/>
      <c r="F113" s="201">
        <f t="shared" ref="F113:O113" si="36">ROUND(F112/160.33,2)</f>
        <v>193.13</v>
      </c>
      <c r="G113" s="201">
        <f t="shared" si="36"/>
        <v>171.16</v>
      </c>
      <c r="H113" s="201">
        <f t="shared" si="36"/>
        <v>194.12</v>
      </c>
      <c r="I113" s="201">
        <f t="shared" si="36"/>
        <v>172.42</v>
      </c>
      <c r="J113" s="201">
        <f t="shared" si="36"/>
        <v>195.54</v>
      </c>
      <c r="K113" s="201">
        <f t="shared" si="36"/>
        <v>173.29</v>
      </c>
      <c r="L113" s="201">
        <f t="shared" si="36"/>
        <v>196.53</v>
      </c>
      <c r="M113" s="201">
        <f t="shared" si="36"/>
        <v>0</v>
      </c>
      <c r="N113" s="201">
        <f t="shared" si="36"/>
        <v>0</v>
      </c>
      <c r="O113" s="201">
        <f t="shared" si="36"/>
        <v>188.67</v>
      </c>
    </row>
    <row r="114" spans="1:15">
      <c r="A114" s="2144">
        <v>37</v>
      </c>
      <c r="B114" s="206" t="s">
        <v>96</v>
      </c>
      <c r="C114" s="195">
        <v>330853</v>
      </c>
      <c r="D114" s="199">
        <f>ROUND((C114*(1+'Løntabel gældende fra'!$D$7%)),0)</f>
        <v>375222</v>
      </c>
      <c r="E114" s="197">
        <v>332923</v>
      </c>
      <c r="F114" s="198">
        <f>ROUND((E114*(1+'Løntabel gældende fra'!$D$7%)),0)</f>
        <v>377569</v>
      </c>
      <c r="G114" s="195">
        <v>334355</v>
      </c>
      <c r="H114" s="199">
        <f>ROUND((G114*(1+'Løntabel gældende fra'!$D$7%)),0)</f>
        <v>379193</v>
      </c>
      <c r="I114" s="197">
        <v>336425</v>
      </c>
      <c r="J114" s="198">
        <f>ROUND((I114*(1+'Løntabel gældende fra'!$D$7%)),0)</f>
        <v>381541</v>
      </c>
      <c r="K114" s="195">
        <v>337859</v>
      </c>
      <c r="L114" s="199">
        <f>ROUND((K114*(1+'Løntabel gældende fra'!$D$7%)),0)</f>
        <v>383167</v>
      </c>
      <c r="M114" s="424"/>
      <c r="N114" s="403">
        <v>326457.34000000003</v>
      </c>
      <c r="O114" s="404">
        <f>ROUND(N114*(1+'Løntabel gældende fra'!$D$7%),2)</f>
        <v>370236.58</v>
      </c>
    </row>
    <row r="115" spans="1:15">
      <c r="A115" s="2145"/>
      <c r="B115" s="407" t="s">
        <v>231</v>
      </c>
      <c r="C115" s="410"/>
      <c r="D115" s="417">
        <f>ROUND(D114/12,2)</f>
        <v>31268.5</v>
      </c>
      <c r="E115" s="414">
        <f>E114/12</f>
        <v>27743.583333333332</v>
      </c>
      <c r="F115" s="399">
        <f>ROUND(F114/12,2)</f>
        <v>31464.080000000002</v>
      </c>
      <c r="G115" s="410">
        <f>G114/12</f>
        <v>27862.916666666668</v>
      </c>
      <c r="H115" s="417">
        <f>ROUND(H114/12,2)</f>
        <v>31599.42</v>
      </c>
      <c r="I115" s="414">
        <f>I114/12</f>
        <v>28035.416666666668</v>
      </c>
      <c r="J115" s="399">
        <f>ROUND(J114/12,2)</f>
        <v>31795.08</v>
      </c>
      <c r="K115" s="410">
        <f>K114/12</f>
        <v>28154.916666666668</v>
      </c>
      <c r="L115" s="417">
        <f>ROUND(L114/12,2)</f>
        <v>31930.58</v>
      </c>
      <c r="M115" s="422"/>
      <c r="N115" s="400"/>
      <c r="O115" s="402">
        <f>ROUND(O114/12,2)</f>
        <v>30853.05</v>
      </c>
    </row>
    <row r="116" spans="1:15" ht="16" thickBot="1">
      <c r="A116" s="2148"/>
      <c r="B116" s="409" t="s">
        <v>226</v>
      </c>
      <c r="C116" s="413">
        <f>C114/12</f>
        <v>27571.083333333332</v>
      </c>
      <c r="D116" s="201">
        <f>ROUND(D115/160.33,2)</f>
        <v>195.03</v>
      </c>
      <c r="E116" s="416"/>
      <c r="F116" s="201">
        <f t="shared" ref="F116:O116" si="37">ROUND(F115/160.33,2)</f>
        <v>196.25</v>
      </c>
      <c r="G116" s="201">
        <f t="shared" si="37"/>
        <v>173.78</v>
      </c>
      <c r="H116" s="201">
        <f t="shared" si="37"/>
        <v>197.09</v>
      </c>
      <c r="I116" s="201">
        <f t="shared" si="37"/>
        <v>174.86</v>
      </c>
      <c r="J116" s="201">
        <f t="shared" si="37"/>
        <v>198.31</v>
      </c>
      <c r="K116" s="201">
        <f t="shared" si="37"/>
        <v>175.61</v>
      </c>
      <c r="L116" s="201">
        <f t="shared" si="37"/>
        <v>199.16</v>
      </c>
      <c r="M116" s="201">
        <f t="shared" si="37"/>
        <v>0</v>
      </c>
      <c r="N116" s="201">
        <f t="shared" si="37"/>
        <v>0</v>
      </c>
      <c r="O116" s="201">
        <f t="shared" si="37"/>
        <v>192.43</v>
      </c>
    </row>
    <row r="117" spans="1:15">
      <c r="A117" s="2147">
        <v>38</v>
      </c>
      <c r="B117" s="207" t="s">
        <v>96</v>
      </c>
      <c r="C117" s="203">
        <v>336808</v>
      </c>
      <c r="D117" s="196">
        <f>ROUND((C117*(1+'Løntabel gældende fra'!$D$7%)),0)</f>
        <v>381975</v>
      </c>
      <c r="E117" s="204">
        <v>338540</v>
      </c>
      <c r="F117" s="205">
        <f>ROUND((E117*(1+'Løntabel gældende fra'!$D$7%)),0)</f>
        <v>383940</v>
      </c>
      <c r="G117" s="203">
        <v>339739</v>
      </c>
      <c r="H117" s="196">
        <f>ROUND((G117*(1+'Løntabel gældende fra'!$D$7%)),0)</f>
        <v>385299</v>
      </c>
      <c r="I117" s="204">
        <v>341471</v>
      </c>
      <c r="J117" s="205">
        <f>ROUND((I117*(1+'Løntabel gældende fra'!$D$7%)),0)</f>
        <v>387264</v>
      </c>
      <c r="K117" s="203">
        <v>342672</v>
      </c>
      <c r="L117" s="196">
        <f>ROUND((K117*(1+'Løntabel gældende fra'!$D$7%)),0)</f>
        <v>388626</v>
      </c>
      <c r="M117" s="423"/>
      <c r="N117" s="401">
        <v>333128.88</v>
      </c>
      <c r="O117" s="210">
        <f>ROUND(N117*(1+'Løntabel gældende fra'!$D$7%),2)</f>
        <v>377802.8</v>
      </c>
    </row>
    <row r="118" spans="1:15">
      <c r="A118" s="2145"/>
      <c r="B118" s="407" t="s">
        <v>231</v>
      </c>
      <c r="C118" s="410"/>
      <c r="D118" s="417">
        <f>ROUND(D117/12,2)</f>
        <v>31831.25</v>
      </c>
      <c r="E118" s="414">
        <f>E117/12</f>
        <v>28211.666666666668</v>
      </c>
      <c r="F118" s="399">
        <f>ROUND(F117/12,2)</f>
        <v>31995</v>
      </c>
      <c r="G118" s="410">
        <f>G117/12</f>
        <v>28311.583333333332</v>
      </c>
      <c r="H118" s="417">
        <f>ROUND(H117/12,2)</f>
        <v>32108.25</v>
      </c>
      <c r="I118" s="414">
        <f>I117/12</f>
        <v>28455.916666666668</v>
      </c>
      <c r="J118" s="399">
        <f>ROUND(J117/12,2)</f>
        <v>32272</v>
      </c>
      <c r="K118" s="410">
        <f>K117/12</f>
        <v>28556</v>
      </c>
      <c r="L118" s="417">
        <f>ROUND(L117/12,2)</f>
        <v>32385.5</v>
      </c>
      <c r="M118" s="422"/>
      <c r="N118" s="400"/>
      <c r="O118" s="402">
        <f>ROUND(O117/12,2)</f>
        <v>31483.57</v>
      </c>
    </row>
    <row r="119" spans="1:15" ht="16" thickBot="1">
      <c r="A119" s="2146"/>
      <c r="B119" s="408" t="s">
        <v>226</v>
      </c>
      <c r="C119" s="200">
        <f>C117/12</f>
        <v>28067.333333333332</v>
      </c>
      <c r="D119" s="201">
        <f>ROUND(D118/160.33,2)</f>
        <v>198.54</v>
      </c>
      <c r="E119" s="415"/>
      <c r="F119" s="201">
        <f t="shared" ref="F119:O119" si="38">ROUND(F118/160.33,2)</f>
        <v>199.56</v>
      </c>
      <c r="G119" s="201">
        <f t="shared" si="38"/>
        <v>176.58</v>
      </c>
      <c r="H119" s="201">
        <f t="shared" si="38"/>
        <v>200.26</v>
      </c>
      <c r="I119" s="201">
        <f t="shared" si="38"/>
        <v>177.48</v>
      </c>
      <c r="J119" s="201">
        <f t="shared" si="38"/>
        <v>201.28</v>
      </c>
      <c r="K119" s="201">
        <f t="shared" si="38"/>
        <v>178.11</v>
      </c>
      <c r="L119" s="201">
        <f t="shared" si="38"/>
        <v>201.99</v>
      </c>
      <c r="M119" s="201">
        <f t="shared" si="38"/>
        <v>0</v>
      </c>
      <c r="N119" s="201">
        <f t="shared" si="38"/>
        <v>0</v>
      </c>
      <c r="O119" s="201">
        <f t="shared" si="38"/>
        <v>196.37</v>
      </c>
    </row>
    <row r="120" spans="1:15">
      <c r="A120" s="2144">
        <v>39</v>
      </c>
      <c r="B120" s="206" t="s">
        <v>96</v>
      </c>
      <c r="C120" s="195">
        <v>342821</v>
      </c>
      <c r="D120" s="199">
        <f>ROUND((C120*(1+'Løntabel gældende fra'!$D$7%)),0)</f>
        <v>388795</v>
      </c>
      <c r="E120" s="197">
        <v>344156</v>
      </c>
      <c r="F120" s="198">
        <f>ROUND((E120*(1+'Løntabel gældende fra'!$D$7%)),0)</f>
        <v>390309</v>
      </c>
      <c r="G120" s="195">
        <v>345080</v>
      </c>
      <c r="H120" s="199">
        <f>ROUND((G120*(1+'Løntabel gældende fra'!$D$7%)),0)</f>
        <v>391357</v>
      </c>
      <c r="I120" s="197">
        <v>346413</v>
      </c>
      <c r="J120" s="198">
        <f>ROUND((I120*(1+'Løntabel gældende fra'!$D$7%)),0)</f>
        <v>392868</v>
      </c>
      <c r="K120" s="195">
        <v>347337</v>
      </c>
      <c r="L120" s="199">
        <f>ROUND((K120*(1+'Løntabel gældende fra'!$D$7%)),0)</f>
        <v>393916</v>
      </c>
      <c r="M120" s="424"/>
      <c r="N120" s="403">
        <v>339989.41</v>
      </c>
      <c r="O120" s="404">
        <f>ROUND(N120*(1+'Løntabel gældende fra'!$D$7%),2)</f>
        <v>385583.35</v>
      </c>
    </row>
    <row r="121" spans="1:15">
      <c r="A121" s="2145"/>
      <c r="B121" s="407" t="s">
        <v>231</v>
      </c>
      <c r="C121" s="410"/>
      <c r="D121" s="417">
        <f>ROUND(D120/12,2)</f>
        <v>32399.58</v>
      </c>
      <c r="E121" s="414">
        <f>E120/12</f>
        <v>28679.666666666668</v>
      </c>
      <c r="F121" s="399">
        <f>ROUND(F120/12,2)</f>
        <v>32525.75</v>
      </c>
      <c r="G121" s="410">
        <f>G120/12</f>
        <v>28756.666666666668</v>
      </c>
      <c r="H121" s="417">
        <f>ROUND(H120/12,2)</f>
        <v>32613.08</v>
      </c>
      <c r="I121" s="414">
        <f>I120/12</f>
        <v>28867.75</v>
      </c>
      <c r="J121" s="399">
        <f>ROUND(J120/12,2)</f>
        <v>32739</v>
      </c>
      <c r="K121" s="410">
        <f>K120/12</f>
        <v>28944.75</v>
      </c>
      <c r="L121" s="417">
        <f>ROUND(L120/12,2)</f>
        <v>32826.33</v>
      </c>
      <c r="M121" s="422"/>
      <c r="N121" s="400"/>
      <c r="O121" s="402">
        <f>ROUND(O120/12,2)</f>
        <v>32131.95</v>
      </c>
    </row>
    <row r="122" spans="1:15" ht="16" thickBot="1">
      <c r="A122" s="2148"/>
      <c r="B122" s="409" t="s">
        <v>226</v>
      </c>
      <c r="C122" s="413">
        <f>C120/12</f>
        <v>28568.416666666668</v>
      </c>
      <c r="D122" s="201">
        <f>ROUND(D121/160.33,2)</f>
        <v>202.08</v>
      </c>
      <c r="E122" s="416"/>
      <c r="F122" s="201">
        <f t="shared" ref="F122:O122" si="39">ROUND(F121/160.33,2)</f>
        <v>202.87</v>
      </c>
      <c r="G122" s="201">
        <f t="shared" si="39"/>
        <v>179.36</v>
      </c>
      <c r="H122" s="201">
        <f t="shared" si="39"/>
        <v>203.41</v>
      </c>
      <c r="I122" s="201">
        <f t="shared" si="39"/>
        <v>180.05</v>
      </c>
      <c r="J122" s="201">
        <f t="shared" si="39"/>
        <v>204.2</v>
      </c>
      <c r="K122" s="201">
        <f t="shared" si="39"/>
        <v>180.53</v>
      </c>
      <c r="L122" s="201">
        <f t="shared" si="39"/>
        <v>204.74</v>
      </c>
      <c r="M122" s="201">
        <f t="shared" si="39"/>
        <v>0</v>
      </c>
      <c r="N122" s="201">
        <f t="shared" si="39"/>
        <v>0</v>
      </c>
      <c r="O122" s="201">
        <f t="shared" si="39"/>
        <v>200.41</v>
      </c>
    </row>
    <row r="123" spans="1:15">
      <c r="A123" s="2147">
        <v>40</v>
      </c>
      <c r="B123" s="207" t="s">
        <v>96</v>
      </c>
      <c r="C123" s="203">
        <v>348966</v>
      </c>
      <c r="D123" s="196">
        <f>ROUND((C123*(1+'Løntabel gældende fra'!$D$7%)),0)</f>
        <v>395764</v>
      </c>
      <c r="E123" s="204">
        <v>349878</v>
      </c>
      <c r="F123" s="205">
        <f>ROUND((E123*(1+'Løntabel gældende fra'!$D$7%)),0)</f>
        <v>396798</v>
      </c>
      <c r="G123" s="203">
        <v>350510</v>
      </c>
      <c r="H123" s="196">
        <f>ROUND((G123*(1+'Løntabel gældende fra'!$D$7%)),0)</f>
        <v>397515</v>
      </c>
      <c r="I123" s="204">
        <v>351422</v>
      </c>
      <c r="J123" s="205">
        <f>ROUND((I123*(1+'Løntabel gældende fra'!$D$7%)),0)</f>
        <v>398549</v>
      </c>
      <c r="K123" s="203">
        <v>352054</v>
      </c>
      <c r="L123" s="196">
        <f>ROUND((K123*(1+'Løntabel gældende fra'!$D$7%)),0)</f>
        <v>399266</v>
      </c>
      <c r="M123" s="423"/>
      <c r="N123" s="401">
        <v>347027.46</v>
      </c>
      <c r="O123" s="210">
        <f>ROUND(N123*(1+'Løntabel gældende fra'!$D$7%),2)</f>
        <v>393565.23</v>
      </c>
    </row>
    <row r="124" spans="1:15">
      <c r="A124" s="2145"/>
      <c r="B124" s="407" t="s">
        <v>231</v>
      </c>
      <c r="C124" s="410"/>
      <c r="D124" s="417">
        <f>ROUND(D123/12,2)</f>
        <v>32980.33</v>
      </c>
      <c r="E124" s="414">
        <f>E123/12</f>
        <v>29156.5</v>
      </c>
      <c r="F124" s="399">
        <f>ROUND(F123/12,2)</f>
        <v>33066.5</v>
      </c>
      <c r="G124" s="410">
        <f>G123/12</f>
        <v>29209.166666666668</v>
      </c>
      <c r="H124" s="417">
        <f>ROUND(H123/12,2)</f>
        <v>33126.25</v>
      </c>
      <c r="I124" s="414">
        <f>I123/12</f>
        <v>29285.166666666668</v>
      </c>
      <c r="J124" s="399">
        <f>ROUND(J123/12,2)</f>
        <v>33212.42</v>
      </c>
      <c r="K124" s="410">
        <f>K123/12</f>
        <v>29337.833333333332</v>
      </c>
      <c r="L124" s="417">
        <f>ROUND(L123/12,2)</f>
        <v>33272.17</v>
      </c>
      <c r="M124" s="422"/>
      <c r="N124" s="400"/>
      <c r="O124" s="402">
        <f>ROUND(O123/12,2)</f>
        <v>32797.1</v>
      </c>
    </row>
    <row r="125" spans="1:15" ht="16" thickBot="1">
      <c r="A125" s="2146"/>
      <c r="B125" s="408" t="s">
        <v>226</v>
      </c>
      <c r="C125" s="200">
        <f>C123/12</f>
        <v>29080.5</v>
      </c>
      <c r="D125" s="201">
        <f>ROUND(D124/160.33,2)</f>
        <v>205.7</v>
      </c>
      <c r="E125" s="415"/>
      <c r="F125" s="201">
        <f t="shared" ref="F125:O125" si="40">ROUND(F124/160.33,2)</f>
        <v>206.24</v>
      </c>
      <c r="G125" s="201">
        <f t="shared" si="40"/>
        <v>182.18</v>
      </c>
      <c r="H125" s="201">
        <f t="shared" si="40"/>
        <v>206.61</v>
      </c>
      <c r="I125" s="201">
        <f t="shared" si="40"/>
        <v>182.66</v>
      </c>
      <c r="J125" s="201">
        <f t="shared" si="40"/>
        <v>207.15</v>
      </c>
      <c r="K125" s="201">
        <f t="shared" si="40"/>
        <v>182.98</v>
      </c>
      <c r="L125" s="201">
        <f t="shared" si="40"/>
        <v>207.52</v>
      </c>
      <c r="M125" s="201">
        <f t="shared" si="40"/>
        <v>0</v>
      </c>
      <c r="N125" s="201">
        <f t="shared" si="40"/>
        <v>0</v>
      </c>
      <c r="O125" s="201">
        <f t="shared" si="40"/>
        <v>204.56</v>
      </c>
    </row>
    <row r="126" spans="1:15">
      <c r="A126" s="2144">
        <v>41</v>
      </c>
      <c r="B126" s="206" t="s">
        <v>96</v>
      </c>
      <c r="C126" s="195">
        <v>355245</v>
      </c>
      <c r="D126" s="199">
        <f>ROUND((C126*(1+'Løntabel gældende fra'!$D$7%)),0)</f>
        <v>402885</v>
      </c>
      <c r="E126" s="197">
        <v>355712</v>
      </c>
      <c r="F126" s="198">
        <f>ROUND((E126*(1+'Løntabel gældende fra'!$D$7%)),0)</f>
        <v>403414</v>
      </c>
      <c r="G126" s="195">
        <v>356037</v>
      </c>
      <c r="H126" s="199">
        <f>ROUND((G126*(1+'Løntabel gældende fra'!$D$7%)),0)</f>
        <v>403783</v>
      </c>
      <c r="I126" s="197">
        <v>356505</v>
      </c>
      <c r="J126" s="198">
        <f>ROUND((I126*(1+'Løntabel gældende fra'!$D$7%)),0)</f>
        <v>404314</v>
      </c>
      <c r="K126" s="195">
        <v>356828</v>
      </c>
      <c r="L126" s="199">
        <f>ROUND((K126*(1+'Løntabel gældende fra'!$D$7%)),0)</f>
        <v>404680</v>
      </c>
      <c r="M126" s="424"/>
      <c r="N126" s="403">
        <v>354249.23</v>
      </c>
      <c r="O126" s="404">
        <f>ROUND(N126*(1+'Løntabel gældende fra'!$D$7%),2)</f>
        <v>401755.47</v>
      </c>
    </row>
    <row r="127" spans="1:15">
      <c r="A127" s="2145"/>
      <c r="B127" s="407" t="s">
        <v>231</v>
      </c>
      <c r="C127" s="410"/>
      <c r="D127" s="417">
        <f>ROUND(D126/12,2)</f>
        <v>33573.75</v>
      </c>
      <c r="E127" s="414">
        <f>E126/12</f>
        <v>29642.666666666668</v>
      </c>
      <c r="F127" s="399">
        <f>ROUND(F126/12,2)</f>
        <v>33617.83</v>
      </c>
      <c r="G127" s="410">
        <f>G126/12</f>
        <v>29669.75</v>
      </c>
      <c r="H127" s="417">
        <f>ROUND(H126/12,2)</f>
        <v>33648.58</v>
      </c>
      <c r="I127" s="414">
        <f>I126/12</f>
        <v>29708.75</v>
      </c>
      <c r="J127" s="399">
        <f>ROUND(J126/12,2)</f>
        <v>33692.83</v>
      </c>
      <c r="K127" s="410">
        <f>K126/12</f>
        <v>29735.666666666668</v>
      </c>
      <c r="L127" s="417">
        <f>ROUND(L126/12,2)</f>
        <v>33723.33</v>
      </c>
      <c r="M127" s="422"/>
      <c r="N127" s="400"/>
      <c r="O127" s="402">
        <f>ROUND(O126/12,2)</f>
        <v>33479.620000000003</v>
      </c>
    </row>
    <row r="128" spans="1:15" ht="16" thickBot="1">
      <c r="A128" s="2148"/>
      <c r="B128" s="409" t="s">
        <v>226</v>
      </c>
      <c r="C128" s="413">
        <f>C126/12</f>
        <v>29603.75</v>
      </c>
      <c r="D128" s="201">
        <f>ROUND(D127/160.33,2)</f>
        <v>209.4</v>
      </c>
      <c r="E128" s="416"/>
      <c r="F128" s="201">
        <f t="shared" ref="F128:O128" si="41">ROUND(F127/160.33,2)</f>
        <v>209.68</v>
      </c>
      <c r="G128" s="201">
        <f t="shared" si="41"/>
        <v>185.05</v>
      </c>
      <c r="H128" s="201">
        <f t="shared" si="41"/>
        <v>209.87</v>
      </c>
      <c r="I128" s="201">
        <f t="shared" si="41"/>
        <v>185.3</v>
      </c>
      <c r="J128" s="201">
        <f t="shared" si="41"/>
        <v>210.15</v>
      </c>
      <c r="K128" s="201">
        <f t="shared" si="41"/>
        <v>185.47</v>
      </c>
      <c r="L128" s="201">
        <f t="shared" si="41"/>
        <v>210.34</v>
      </c>
      <c r="M128" s="201">
        <f t="shared" si="41"/>
        <v>0</v>
      </c>
      <c r="N128" s="201">
        <f t="shared" si="41"/>
        <v>0</v>
      </c>
      <c r="O128" s="201">
        <f t="shared" si="41"/>
        <v>208.82</v>
      </c>
    </row>
    <row r="129" spans="1:15">
      <c r="A129" s="2147">
        <v>42</v>
      </c>
      <c r="B129" s="207" t="s">
        <v>96</v>
      </c>
      <c r="C129" s="203">
        <v>361660</v>
      </c>
      <c r="D129" s="196">
        <f>ROUND((C129*(1+'Løntabel gældende fra'!$D$7%)),0)</f>
        <v>410160</v>
      </c>
      <c r="E129" s="204">
        <v>361660</v>
      </c>
      <c r="F129" s="205">
        <f>ROUND((E129*(1+'Løntabel gældende fra'!$D$7%)),0)</f>
        <v>410160</v>
      </c>
      <c r="G129" s="203">
        <v>361660</v>
      </c>
      <c r="H129" s="196">
        <f>ROUND((G129*(1+'Løntabel gældende fra'!$D$7%)),0)</f>
        <v>410160</v>
      </c>
      <c r="I129" s="204">
        <v>361660</v>
      </c>
      <c r="J129" s="205">
        <f>ROUND((I129*(1+'Løntabel gældende fra'!$D$7%)),0)</f>
        <v>410160</v>
      </c>
      <c r="K129" s="203">
        <v>361660</v>
      </c>
      <c r="L129" s="196">
        <f>ROUND((K129*(1+'Løntabel gældende fra'!$D$7%)),0)</f>
        <v>410160</v>
      </c>
      <c r="M129" s="423"/>
      <c r="N129" s="401">
        <v>361659.2</v>
      </c>
      <c r="O129" s="210">
        <f>ROUND(N129*(1+'Løntabel gældende fra'!$D$7%),2)</f>
        <v>410159.15</v>
      </c>
    </row>
    <row r="130" spans="1:15">
      <c r="A130" s="2145"/>
      <c r="B130" s="407" t="s">
        <v>231</v>
      </c>
      <c r="C130" s="410"/>
      <c r="D130" s="417">
        <f>ROUND(D129/12,2)</f>
        <v>34180</v>
      </c>
      <c r="E130" s="414">
        <f>E129/12</f>
        <v>30138.333333333332</v>
      </c>
      <c r="F130" s="399">
        <f>ROUND(F129/12,2)</f>
        <v>34180</v>
      </c>
      <c r="G130" s="410">
        <f>G129/12</f>
        <v>30138.333333333332</v>
      </c>
      <c r="H130" s="417">
        <f>ROUND(H129/12,2)</f>
        <v>34180</v>
      </c>
      <c r="I130" s="414">
        <f>I129/12</f>
        <v>30138.333333333332</v>
      </c>
      <c r="J130" s="399">
        <f>ROUND(J129/12,2)</f>
        <v>34180</v>
      </c>
      <c r="K130" s="410">
        <f>K129/12</f>
        <v>30138.333333333332</v>
      </c>
      <c r="L130" s="417">
        <f>ROUND(L129/12,2)</f>
        <v>34180</v>
      </c>
      <c r="M130" s="422"/>
      <c r="N130" s="400"/>
      <c r="O130" s="402">
        <f>ROUND(O129/12,2)</f>
        <v>34179.93</v>
      </c>
    </row>
    <row r="131" spans="1:15" ht="16" thickBot="1">
      <c r="A131" s="2146"/>
      <c r="B131" s="408" t="s">
        <v>226</v>
      </c>
      <c r="C131" s="200">
        <f>C129/12</f>
        <v>30138.333333333332</v>
      </c>
      <c r="D131" s="201">
        <f>ROUND(D130/160.33,2)</f>
        <v>213.19</v>
      </c>
      <c r="E131" s="415"/>
      <c r="F131" s="201">
        <f t="shared" ref="F131:O131" si="42">ROUND(F130/160.33,2)</f>
        <v>213.19</v>
      </c>
      <c r="G131" s="201">
        <f t="shared" si="42"/>
        <v>187.98</v>
      </c>
      <c r="H131" s="201">
        <f t="shared" si="42"/>
        <v>213.19</v>
      </c>
      <c r="I131" s="201">
        <f t="shared" si="42"/>
        <v>187.98</v>
      </c>
      <c r="J131" s="201">
        <f t="shared" si="42"/>
        <v>213.19</v>
      </c>
      <c r="K131" s="201">
        <f t="shared" si="42"/>
        <v>187.98</v>
      </c>
      <c r="L131" s="201">
        <f t="shared" si="42"/>
        <v>213.19</v>
      </c>
      <c r="M131" s="201">
        <f t="shared" si="42"/>
        <v>0</v>
      </c>
      <c r="N131" s="201">
        <f t="shared" si="42"/>
        <v>0</v>
      </c>
      <c r="O131" s="201">
        <f t="shared" si="42"/>
        <v>213.18</v>
      </c>
    </row>
    <row r="132" spans="1:15">
      <c r="A132" s="2144">
        <v>43</v>
      </c>
      <c r="B132" s="206" t="s">
        <v>96</v>
      </c>
      <c r="C132" s="195">
        <v>369689</v>
      </c>
      <c r="D132" s="199">
        <f>ROUND((C132*(1+'Løntabel gældende fra'!$D$7%)),0)</f>
        <v>419266</v>
      </c>
      <c r="E132" s="197">
        <v>369689</v>
      </c>
      <c r="F132" s="198">
        <f>ROUND((E132*(1+'Løntabel gældende fra'!$D$7%)),0)</f>
        <v>419266</v>
      </c>
      <c r="G132" s="195">
        <v>369689</v>
      </c>
      <c r="H132" s="199">
        <f>ROUND((G132*(1+'Løntabel gældende fra'!$D$7%)),0)</f>
        <v>419266</v>
      </c>
      <c r="I132" s="197">
        <v>369689</v>
      </c>
      <c r="J132" s="198">
        <f>ROUND((I132*(1+'Løntabel gældende fra'!$D$7%)),0)</f>
        <v>419266</v>
      </c>
      <c r="K132" s="195">
        <v>369689</v>
      </c>
      <c r="L132" s="199">
        <f>ROUND((K132*(1+'Løntabel gældende fra'!$D$7%)),0)</f>
        <v>419266</v>
      </c>
      <c r="M132" s="424"/>
      <c r="N132" s="403">
        <v>369688.53</v>
      </c>
      <c r="O132" s="404">
        <f>ROUND(N132*(1+'Løntabel gældende fra'!$D$7%),2)</f>
        <v>419265.24</v>
      </c>
    </row>
    <row r="133" spans="1:15">
      <c r="A133" s="2145"/>
      <c r="B133" s="407" t="s">
        <v>231</v>
      </c>
      <c r="C133" s="410"/>
      <c r="D133" s="417">
        <f>ROUND(D132/12,2)</f>
        <v>34938.83</v>
      </c>
      <c r="E133" s="414">
        <f>E132/12</f>
        <v>30807.416666666668</v>
      </c>
      <c r="F133" s="399">
        <f>ROUND(F132/12,2)</f>
        <v>34938.83</v>
      </c>
      <c r="G133" s="410">
        <f>G132/12</f>
        <v>30807.416666666668</v>
      </c>
      <c r="H133" s="417">
        <f>ROUND(H132/12,2)</f>
        <v>34938.83</v>
      </c>
      <c r="I133" s="414">
        <f>I132/12</f>
        <v>30807.416666666668</v>
      </c>
      <c r="J133" s="399">
        <f>ROUND(J132/12,2)</f>
        <v>34938.83</v>
      </c>
      <c r="K133" s="410">
        <f>K132/12</f>
        <v>30807.416666666668</v>
      </c>
      <c r="L133" s="417">
        <f>ROUND(L132/12,2)</f>
        <v>34938.83</v>
      </c>
      <c r="M133" s="422"/>
      <c r="N133" s="400"/>
      <c r="O133" s="402">
        <f>ROUND(O132/12,2)</f>
        <v>34938.769999999997</v>
      </c>
    </row>
    <row r="134" spans="1:15" ht="16" thickBot="1">
      <c r="A134" s="2148"/>
      <c r="B134" s="409" t="s">
        <v>226</v>
      </c>
      <c r="C134" s="413">
        <f>C132/12</f>
        <v>30807.416666666668</v>
      </c>
      <c r="D134" s="201">
        <f>ROUND(D133/160.33,2)</f>
        <v>217.92</v>
      </c>
      <c r="E134" s="416"/>
      <c r="F134" s="201">
        <f t="shared" ref="F134:O134" si="43">ROUND(F133/160.33,2)</f>
        <v>217.92</v>
      </c>
      <c r="G134" s="201">
        <f t="shared" si="43"/>
        <v>192.15</v>
      </c>
      <c r="H134" s="201">
        <f t="shared" si="43"/>
        <v>217.92</v>
      </c>
      <c r="I134" s="201">
        <f t="shared" si="43"/>
        <v>192.15</v>
      </c>
      <c r="J134" s="201">
        <f t="shared" si="43"/>
        <v>217.92</v>
      </c>
      <c r="K134" s="201">
        <f t="shared" si="43"/>
        <v>192.15</v>
      </c>
      <c r="L134" s="201">
        <f t="shared" si="43"/>
        <v>217.92</v>
      </c>
      <c r="M134" s="201">
        <f t="shared" si="43"/>
        <v>0</v>
      </c>
      <c r="N134" s="201">
        <f t="shared" si="43"/>
        <v>0</v>
      </c>
      <c r="O134" s="201">
        <f t="shared" si="43"/>
        <v>217.92</v>
      </c>
    </row>
    <row r="135" spans="1:15">
      <c r="A135" s="2147">
        <v>44</v>
      </c>
      <c r="B135" s="207" t="s">
        <v>96</v>
      </c>
      <c r="C135" s="203">
        <v>377937</v>
      </c>
      <c r="D135" s="196">
        <f>ROUND((C135*(1+'Løntabel gældende fra'!$D$7%)),0)</f>
        <v>428620</v>
      </c>
      <c r="E135" s="204">
        <v>377937</v>
      </c>
      <c r="F135" s="205">
        <f>ROUND((E135*(1+'Løntabel gældende fra'!$D$7%)),0)</f>
        <v>428620</v>
      </c>
      <c r="G135" s="203">
        <v>377937</v>
      </c>
      <c r="H135" s="196">
        <f>ROUND((G135*(1+'Løntabel gældende fra'!$D$7%)),0)</f>
        <v>428620</v>
      </c>
      <c r="I135" s="204">
        <v>377937</v>
      </c>
      <c r="J135" s="205">
        <f>ROUND((I135*(1+'Løntabel gældende fra'!$D$7%)),0)</f>
        <v>428620</v>
      </c>
      <c r="K135" s="203">
        <v>377937</v>
      </c>
      <c r="L135" s="196">
        <f>ROUND((K135*(1+'Løntabel gældende fra'!$D$7%)),0)</f>
        <v>428620</v>
      </c>
      <c r="M135" s="423"/>
      <c r="N135" s="401">
        <v>377937.3</v>
      </c>
      <c r="O135" s="210">
        <f>ROUND(N135*(1+'Løntabel gældende fra'!$D$7%),2)</f>
        <v>428620.2</v>
      </c>
    </row>
    <row r="136" spans="1:15">
      <c r="A136" s="2145"/>
      <c r="B136" s="407" t="s">
        <v>231</v>
      </c>
      <c r="C136" s="410"/>
      <c r="D136" s="417">
        <f>ROUND(D135/12,2)</f>
        <v>35718.33</v>
      </c>
      <c r="E136" s="414">
        <f>E135/12</f>
        <v>31494.75</v>
      </c>
      <c r="F136" s="399">
        <f>ROUND(F135/12,2)</f>
        <v>35718.33</v>
      </c>
      <c r="G136" s="410">
        <f>G135/12</f>
        <v>31494.75</v>
      </c>
      <c r="H136" s="417">
        <f>ROUND(H135/12,2)</f>
        <v>35718.33</v>
      </c>
      <c r="I136" s="414">
        <f>I135/12</f>
        <v>31494.75</v>
      </c>
      <c r="J136" s="399">
        <f>ROUND(J135/12,2)</f>
        <v>35718.33</v>
      </c>
      <c r="K136" s="410">
        <f>K135/12</f>
        <v>31494.75</v>
      </c>
      <c r="L136" s="417">
        <f>ROUND(L135/12,2)</f>
        <v>35718.33</v>
      </c>
      <c r="M136" s="422"/>
      <c r="N136" s="400"/>
      <c r="O136" s="402">
        <f>ROUND(O135/12,2)</f>
        <v>35718.35</v>
      </c>
    </row>
    <row r="137" spans="1:15" ht="16" thickBot="1">
      <c r="A137" s="2146"/>
      <c r="B137" s="408" t="s">
        <v>226</v>
      </c>
      <c r="C137" s="200">
        <f>C135/12</f>
        <v>31494.75</v>
      </c>
      <c r="D137" s="201">
        <f>ROUND(D136/160.33,2)</f>
        <v>222.78</v>
      </c>
      <c r="E137" s="415"/>
      <c r="F137" s="201">
        <f t="shared" ref="F137:O137" si="44">ROUND(F136/160.33,2)</f>
        <v>222.78</v>
      </c>
      <c r="G137" s="201">
        <f t="shared" si="44"/>
        <v>196.44</v>
      </c>
      <c r="H137" s="201">
        <f t="shared" si="44"/>
        <v>222.78</v>
      </c>
      <c r="I137" s="201">
        <f t="shared" si="44"/>
        <v>196.44</v>
      </c>
      <c r="J137" s="201">
        <f t="shared" si="44"/>
        <v>222.78</v>
      </c>
      <c r="K137" s="201">
        <f t="shared" si="44"/>
        <v>196.44</v>
      </c>
      <c r="L137" s="201">
        <f t="shared" si="44"/>
        <v>222.78</v>
      </c>
      <c r="M137" s="201">
        <f t="shared" si="44"/>
        <v>0</v>
      </c>
      <c r="N137" s="201">
        <f t="shared" si="44"/>
        <v>0</v>
      </c>
      <c r="O137" s="201">
        <f t="shared" si="44"/>
        <v>222.78</v>
      </c>
    </row>
    <row r="138" spans="1:15">
      <c r="A138" s="2147">
        <v>45</v>
      </c>
      <c r="B138" s="207" t="s">
        <v>96</v>
      </c>
      <c r="C138" s="203">
        <v>386414</v>
      </c>
      <c r="D138" s="196">
        <f>ROUND((C138*(1+'Løntabel gældende fra'!$D$7%)),0)</f>
        <v>438234</v>
      </c>
      <c r="E138" s="204">
        <v>386414</v>
      </c>
      <c r="F138" s="205">
        <f>ROUND((E138*(1+'Løntabel gældende fra'!$D$7%)),0)</f>
        <v>438234</v>
      </c>
      <c r="G138" s="203">
        <v>386414</v>
      </c>
      <c r="H138" s="196">
        <f>ROUND((G138*(1+'Løntabel gældende fra'!$D$7%)),0)</f>
        <v>438234</v>
      </c>
      <c r="I138" s="204">
        <v>386414</v>
      </c>
      <c r="J138" s="205">
        <f>ROUND((I138*(1+'Løntabel gældende fra'!$D$7%)),0)</f>
        <v>438234</v>
      </c>
      <c r="K138" s="203">
        <v>386414</v>
      </c>
      <c r="L138" s="196">
        <f>ROUND((K138*(1+'Løntabel gældende fra'!$D$7%)),0)</f>
        <v>438234</v>
      </c>
      <c r="M138" s="423"/>
      <c r="N138" s="401">
        <v>386414.29</v>
      </c>
      <c r="O138" s="210">
        <f>ROUND(N138*(1+'Løntabel gældende fra'!$D$7%),2)</f>
        <v>438233.99</v>
      </c>
    </row>
    <row r="139" spans="1:15">
      <c r="A139" s="2145"/>
      <c r="B139" s="407" t="s">
        <v>231</v>
      </c>
      <c r="C139" s="410"/>
      <c r="D139" s="417">
        <f>ROUND(D138/12,2)</f>
        <v>36519.5</v>
      </c>
      <c r="E139" s="414">
        <f>E138/12</f>
        <v>32201.166666666668</v>
      </c>
      <c r="F139" s="399">
        <f>ROUND(F138/12,2)</f>
        <v>36519.5</v>
      </c>
      <c r="G139" s="410">
        <f>G138/12</f>
        <v>32201.166666666668</v>
      </c>
      <c r="H139" s="417">
        <f>ROUND(H138/12,2)</f>
        <v>36519.5</v>
      </c>
      <c r="I139" s="414">
        <f>I138/12</f>
        <v>32201.166666666668</v>
      </c>
      <c r="J139" s="399">
        <f>ROUND(J138/12,2)</f>
        <v>36519.5</v>
      </c>
      <c r="K139" s="410">
        <f>K138/12</f>
        <v>32201.166666666668</v>
      </c>
      <c r="L139" s="417">
        <f>ROUND(L138/12,2)</f>
        <v>36519.5</v>
      </c>
      <c r="M139" s="422"/>
      <c r="N139" s="400"/>
      <c r="O139" s="402">
        <f>ROUND(O138/12,2)</f>
        <v>36519.5</v>
      </c>
    </row>
    <row r="140" spans="1:15" ht="16" thickBot="1">
      <c r="A140" s="2146"/>
      <c r="B140" s="408" t="s">
        <v>226</v>
      </c>
      <c r="C140" s="200">
        <f>C138/12</f>
        <v>32201.166666666668</v>
      </c>
      <c r="D140" s="201">
        <f>ROUND(D139/160.33,2)</f>
        <v>227.78</v>
      </c>
      <c r="E140" s="415"/>
      <c r="F140" s="201">
        <f t="shared" ref="F140:O140" si="45">ROUND(F139/160.33,2)</f>
        <v>227.78</v>
      </c>
      <c r="G140" s="201">
        <f t="shared" si="45"/>
        <v>200.84</v>
      </c>
      <c r="H140" s="201">
        <f t="shared" si="45"/>
        <v>227.78</v>
      </c>
      <c r="I140" s="201">
        <f t="shared" si="45"/>
        <v>200.84</v>
      </c>
      <c r="J140" s="201">
        <f t="shared" si="45"/>
        <v>227.78</v>
      </c>
      <c r="K140" s="201">
        <f t="shared" si="45"/>
        <v>200.84</v>
      </c>
      <c r="L140" s="201">
        <f t="shared" si="45"/>
        <v>227.78</v>
      </c>
      <c r="M140" s="201">
        <f t="shared" si="45"/>
        <v>0</v>
      </c>
      <c r="N140" s="201">
        <f t="shared" si="45"/>
        <v>0</v>
      </c>
      <c r="O140" s="201">
        <f t="shared" si="45"/>
        <v>227.78</v>
      </c>
    </row>
    <row r="141" spans="1:15">
      <c r="A141" s="2147">
        <v>46</v>
      </c>
      <c r="B141" s="207" t="s">
        <v>96</v>
      </c>
      <c r="C141" s="203">
        <v>395125</v>
      </c>
      <c r="D141" s="196">
        <f>ROUND((C141*(1+'Løntabel gældende fra'!$D$7%)),0)</f>
        <v>448113</v>
      </c>
      <c r="E141" s="204">
        <v>395125</v>
      </c>
      <c r="F141" s="205">
        <f>ROUND((E141*(1+'Løntabel gældende fra'!$D$7%)),0)</f>
        <v>448113</v>
      </c>
      <c r="G141" s="203">
        <v>395125</v>
      </c>
      <c r="H141" s="196">
        <f>ROUND((G141*(1+'Løntabel gældende fra'!$D$7%)),0)</f>
        <v>448113</v>
      </c>
      <c r="I141" s="204">
        <v>395125</v>
      </c>
      <c r="J141" s="205">
        <f>ROUND((I141*(1+'Løntabel gældende fra'!$D$7%)),0)</f>
        <v>448113</v>
      </c>
      <c r="K141" s="203">
        <v>395125</v>
      </c>
      <c r="L141" s="196">
        <f>ROUND((K141*(1+'Løntabel gældende fra'!$D$7%)),0)</f>
        <v>448113</v>
      </c>
      <c r="M141" s="423"/>
      <c r="N141" s="401">
        <v>395124.74</v>
      </c>
      <c r="O141" s="210">
        <f>ROUND(N141*(1+'Løntabel gældende fra'!$D$7%),2)</f>
        <v>448112.55</v>
      </c>
    </row>
    <row r="142" spans="1:15">
      <c r="A142" s="2145"/>
      <c r="B142" s="407" t="s">
        <v>97</v>
      </c>
      <c r="C142" s="410"/>
      <c r="D142" s="417">
        <f>ROUND(D141/12,2)</f>
        <v>37342.75</v>
      </c>
      <c r="E142" s="414">
        <f>E141/12</f>
        <v>32927.083333333336</v>
      </c>
      <c r="F142" s="399">
        <f>ROUND(F141/12,2)</f>
        <v>37342.75</v>
      </c>
      <c r="G142" s="410">
        <f>G141/12</f>
        <v>32927.083333333336</v>
      </c>
      <c r="H142" s="417">
        <f>ROUND(H141/12,2)</f>
        <v>37342.75</v>
      </c>
      <c r="I142" s="414">
        <f>I141/12</f>
        <v>32927.083333333336</v>
      </c>
      <c r="J142" s="399">
        <f>ROUND(J141/12,2)</f>
        <v>37342.75</v>
      </c>
      <c r="K142" s="410">
        <f>K141/12</f>
        <v>32927.083333333336</v>
      </c>
      <c r="L142" s="417">
        <f>ROUND(L141/12,2)</f>
        <v>37342.75</v>
      </c>
      <c r="M142" s="422"/>
      <c r="N142" s="400"/>
      <c r="O142" s="402">
        <f>ROUND(O141/12,2)</f>
        <v>37342.71</v>
      </c>
    </row>
    <row r="143" spans="1:15" ht="16" thickBot="1">
      <c r="A143" s="2146"/>
      <c r="B143" s="408" t="s">
        <v>226</v>
      </c>
      <c r="C143" s="200">
        <f>C141/12</f>
        <v>32927.083333333336</v>
      </c>
      <c r="D143" s="201">
        <f>ROUND(D142/160.33,2)</f>
        <v>232.91</v>
      </c>
      <c r="E143" s="415"/>
      <c r="F143" s="201">
        <f t="shared" ref="F143:O143" si="46">ROUND(F142/160.33,2)</f>
        <v>232.91</v>
      </c>
      <c r="G143" s="201">
        <f t="shared" si="46"/>
        <v>205.37</v>
      </c>
      <c r="H143" s="201">
        <f t="shared" si="46"/>
        <v>232.91</v>
      </c>
      <c r="I143" s="201">
        <f t="shared" si="46"/>
        <v>205.37</v>
      </c>
      <c r="J143" s="201">
        <f t="shared" si="46"/>
        <v>232.91</v>
      </c>
      <c r="K143" s="201">
        <f t="shared" si="46"/>
        <v>205.37</v>
      </c>
      <c r="L143" s="201">
        <f t="shared" si="46"/>
        <v>232.91</v>
      </c>
      <c r="M143" s="201">
        <f t="shared" si="46"/>
        <v>0</v>
      </c>
      <c r="N143" s="201">
        <f t="shared" si="46"/>
        <v>0</v>
      </c>
      <c r="O143" s="201">
        <f t="shared" si="46"/>
        <v>232.91</v>
      </c>
    </row>
    <row r="144" spans="1:15">
      <c r="A144" s="2144">
        <v>47</v>
      </c>
      <c r="B144" s="206" t="s">
        <v>96</v>
      </c>
      <c r="C144" s="195">
        <v>413269</v>
      </c>
      <c r="D144" s="199">
        <f>ROUND((C144*(1+'Løntabel gældende fra'!$D$7%)),0)</f>
        <v>468690</v>
      </c>
      <c r="E144" s="197">
        <v>413269</v>
      </c>
      <c r="F144" s="198">
        <f>ROUND((E144*(1+'Løntabel gældende fra'!$D$7%)),0)</f>
        <v>468690</v>
      </c>
      <c r="G144" s="195">
        <v>413269</v>
      </c>
      <c r="H144" s="199">
        <f>ROUND((G144*(1+'Løntabel gældende fra'!$D$7%)),0)</f>
        <v>468690</v>
      </c>
      <c r="I144" s="197">
        <v>413269</v>
      </c>
      <c r="J144" s="198">
        <f>ROUND((I144*(1+'Løntabel gældende fra'!$D$7%)),0)</f>
        <v>468690</v>
      </c>
      <c r="K144" s="195">
        <v>413269</v>
      </c>
      <c r="L144" s="199">
        <f>ROUND((K144*(1+'Løntabel gældende fra'!$D$7%)),0)</f>
        <v>468690</v>
      </c>
      <c r="M144" s="424"/>
      <c r="N144" s="403">
        <v>413268.87</v>
      </c>
      <c r="O144" s="404">
        <f>ROUND(N144*(1+'Løntabel gældende fra'!$D$7%),2)</f>
        <v>468689.88</v>
      </c>
    </row>
    <row r="145" spans="1:15">
      <c r="A145" s="2145"/>
      <c r="B145" s="407" t="s">
        <v>231</v>
      </c>
      <c r="C145" s="410"/>
      <c r="D145" s="417">
        <f>ROUND(D144/12,2)</f>
        <v>39057.5</v>
      </c>
      <c r="E145" s="414">
        <f>E144/12</f>
        <v>34439.083333333336</v>
      </c>
      <c r="F145" s="399">
        <f>ROUND(F144/12,2)</f>
        <v>39057.5</v>
      </c>
      <c r="G145" s="410">
        <f>G144/12</f>
        <v>34439.083333333336</v>
      </c>
      <c r="H145" s="417">
        <f>ROUND(H144/12,2)</f>
        <v>39057.5</v>
      </c>
      <c r="I145" s="414">
        <f>I144/12</f>
        <v>34439.083333333336</v>
      </c>
      <c r="J145" s="399">
        <f>ROUND(J144/12,2)</f>
        <v>39057.5</v>
      </c>
      <c r="K145" s="410">
        <f>K144/12</f>
        <v>34439.083333333336</v>
      </c>
      <c r="L145" s="417">
        <f>ROUND(L144/12,2)</f>
        <v>39057.5</v>
      </c>
      <c r="M145" s="422"/>
      <c r="N145" s="400"/>
      <c r="O145" s="402">
        <f>ROUND(O144/12,2)</f>
        <v>39057.49</v>
      </c>
    </row>
    <row r="146" spans="1:15" ht="16" thickBot="1">
      <c r="A146" s="2148"/>
      <c r="B146" s="409" t="s">
        <v>226</v>
      </c>
      <c r="C146" s="413">
        <f>C144/12</f>
        <v>34439.083333333336</v>
      </c>
      <c r="D146" s="201">
        <f>ROUND(D145/160.33,2)</f>
        <v>243.61</v>
      </c>
      <c r="E146" s="416"/>
      <c r="F146" s="201">
        <f t="shared" ref="F146:O146" si="47">ROUND(F145/160.33,2)</f>
        <v>243.61</v>
      </c>
      <c r="G146" s="201">
        <f t="shared" si="47"/>
        <v>214.8</v>
      </c>
      <c r="H146" s="201">
        <f t="shared" si="47"/>
        <v>243.61</v>
      </c>
      <c r="I146" s="201">
        <f t="shared" si="47"/>
        <v>214.8</v>
      </c>
      <c r="J146" s="201">
        <f t="shared" si="47"/>
        <v>243.61</v>
      </c>
      <c r="K146" s="201">
        <f t="shared" si="47"/>
        <v>214.8</v>
      </c>
      <c r="L146" s="201">
        <f t="shared" si="47"/>
        <v>243.61</v>
      </c>
      <c r="M146" s="201">
        <f t="shared" si="47"/>
        <v>0</v>
      </c>
      <c r="N146" s="201">
        <f t="shared" si="47"/>
        <v>0</v>
      </c>
      <c r="O146" s="201">
        <f t="shared" si="47"/>
        <v>243.61</v>
      </c>
    </row>
    <row r="147" spans="1:15">
      <c r="A147" s="2147">
        <v>48</v>
      </c>
      <c r="B147" s="207" t="s">
        <v>96</v>
      </c>
      <c r="C147" s="203">
        <v>441027</v>
      </c>
      <c r="D147" s="196">
        <f>ROUND((C147*(1+'Løntabel gældende fra'!$D$7%)),0)</f>
        <v>500170</v>
      </c>
      <c r="E147" s="204">
        <v>441027</v>
      </c>
      <c r="F147" s="205">
        <f>ROUND((E147*(1+'Løntabel gældende fra'!$D$7%)),0)</f>
        <v>500170</v>
      </c>
      <c r="G147" s="203">
        <v>441027</v>
      </c>
      <c r="H147" s="196">
        <f>ROUND((G147*(1+'Løntabel gældende fra'!$D$7%)),0)</f>
        <v>500170</v>
      </c>
      <c r="I147" s="204">
        <v>441027</v>
      </c>
      <c r="J147" s="205">
        <f>ROUND((I147*(1+'Løntabel gældende fra'!$D$7%)),0)</f>
        <v>500170</v>
      </c>
      <c r="K147" s="203">
        <v>441027</v>
      </c>
      <c r="L147" s="196">
        <f>ROUND((K147*(1+'Løntabel gældende fra'!$D$7%)),0)</f>
        <v>500170</v>
      </c>
      <c r="M147" s="423"/>
      <c r="N147" s="401">
        <v>441025.75</v>
      </c>
      <c r="O147" s="210">
        <f>ROUND(N147*(1+'Løntabel gældende fra'!$D$7%),2)</f>
        <v>500169.07</v>
      </c>
    </row>
    <row r="148" spans="1:15">
      <c r="A148" s="2145"/>
      <c r="B148" s="407" t="s">
        <v>231</v>
      </c>
      <c r="C148" s="410"/>
      <c r="D148" s="417">
        <f>ROUND(D147/12,2)</f>
        <v>41680.83</v>
      </c>
      <c r="E148" s="414">
        <f>E147/12</f>
        <v>36752.25</v>
      </c>
      <c r="F148" s="399">
        <f>ROUND(F147/12,2)</f>
        <v>41680.83</v>
      </c>
      <c r="G148" s="410">
        <f>G147/12</f>
        <v>36752.25</v>
      </c>
      <c r="H148" s="417">
        <f>ROUND(H147/12,2)</f>
        <v>41680.83</v>
      </c>
      <c r="I148" s="414">
        <f>I147/12</f>
        <v>36752.25</v>
      </c>
      <c r="J148" s="399">
        <f>ROUND(J147/12,2)</f>
        <v>41680.83</v>
      </c>
      <c r="K148" s="410">
        <f>K147/12</f>
        <v>36752.25</v>
      </c>
      <c r="L148" s="417">
        <f>ROUND(L147/12,2)</f>
        <v>41680.83</v>
      </c>
      <c r="M148" s="422"/>
      <c r="N148" s="400"/>
      <c r="O148" s="402">
        <f>ROUND(O147/12,2)</f>
        <v>41680.76</v>
      </c>
    </row>
    <row r="149" spans="1:15" ht="16" thickBot="1">
      <c r="A149" s="2146"/>
      <c r="B149" s="408" t="s">
        <v>226</v>
      </c>
      <c r="C149" s="200">
        <f>C147/12</f>
        <v>36752.25</v>
      </c>
      <c r="D149" s="201">
        <f>ROUND(D148/160.33,2)</f>
        <v>259.97000000000003</v>
      </c>
      <c r="E149" s="415"/>
      <c r="F149" s="201">
        <f t="shared" ref="F149:O149" si="48">ROUND(F148/160.33,2)</f>
        <v>259.97000000000003</v>
      </c>
      <c r="G149" s="201">
        <f t="shared" si="48"/>
        <v>229.23</v>
      </c>
      <c r="H149" s="201">
        <f t="shared" si="48"/>
        <v>259.97000000000003</v>
      </c>
      <c r="I149" s="201">
        <f t="shared" si="48"/>
        <v>229.23</v>
      </c>
      <c r="J149" s="201">
        <f t="shared" si="48"/>
        <v>259.97000000000003</v>
      </c>
      <c r="K149" s="201">
        <f t="shared" si="48"/>
        <v>229.23</v>
      </c>
      <c r="L149" s="201">
        <f t="shared" si="48"/>
        <v>259.97000000000003</v>
      </c>
      <c r="M149" s="201">
        <f t="shared" si="48"/>
        <v>0</v>
      </c>
      <c r="N149" s="201">
        <f t="shared" si="48"/>
        <v>0</v>
      </c>
      <c r="O149" s="201">
        <f t="shared" si="48"/>
        <v>259.97000000000003</v>
      </c>
    </row>
    <row r="150" spans="1:15">
      <c r="A150" s="2144">
        <v>49</v>
      </c>
      <c r="B150" s="206" t="s">
        <v>96</v>
      </c>
      <c r="C150" s="195">
        <v>471781</v>
      </c>
      <c r="D150" s="199">
        <f>ROUND((C150*(1+'Løntabel gældende fra'!$D$7%)),0)</f>
        <v>535049</v>
      </c>
      <c r="E150" s="197">
        <v>471781</v>
      </c>
      <c r="F150" s="198">
        <f>ROUND((E150*(1+'Løntabel gældende fra'!$D$7%)),0)</f>
        <v>535049</v>
      </c>
      <c r="G150" s="195">
        <v>471781</v>
      </c>
      <c r="H150" s="199">
        <f>ROUND((G150*(1+'Løntabel gældende fra'!$D$7%)),0)</f>
        <v>535049</v>
      </c>
      <c r="I150" s="197">
        <v>471781</v>
      </c>
      <c r="J150" s="198">
        <f>ROUND((I150*(1+'Løntabel gældende fra'!$D$7%)),0)</f>
        <v>535049</v>
      </c>
      <c r="K150" s="195">
        <v>471781</v>
      </c>
      <c r="L150" s="199">
        <f>ROUND((K150*(1+'Løntabel gældende fra'!$D$7%)),0)</f>
        <v>535049</v>
      </c>
      <c r="M150" s="424"/>
      <c r="N150" s="403">
        <v>471780.9</v>
      </c>
      <c r="O150" s="404">
        <f>ROUND(N150*(1+'Løntabel gældende fra'!$D$7%),2)</f>
        <v>535048.61</v>
      </c>
    </row>
    <row r="151" spans="1:15">
      <c r="A151" s="2145"/>
      <c r="B151" s="407" t="s">
        <v>231</v>
      </c>
      <c r="C151" s="410"/>
      <c r="D151" s="417">
        <f>ROUND(D150/12,2)</f>
        <v>44587.42</v>
      </c>
      <c r="E151" s="414">
        <f>E150/12</f>
        <v>39315.083333333336</v>
      </c>
      <c r="F151" s="399">
        <f>ROUND(F150/12,2)</f>
        <v>44587.42</v>
      </c>
      <c r="G151" s="410">
        <f>G150/12</f>
        <v>39315.083333333336</v>
      </c>
      <c r="H151" s="417">
        <f>ROUND(H150/12,2)</f>
        <v>44587.42</v>
      </c>
      <c r="I151" s="414">
        <f>I150/12</f>
        <v>39315.083333333336</v>
      </c>
      <c r="J151" s="399">
        <f>ROUND(J150/12,2)</f>
        <v>44587.42</v>
      </c>
      <c r="K151" s="410">
        <f>K150/12</f>
        <v>39315.083333333336</v>
      </c>
      <c r="L151" s="417">
        <f>ROUND(L150/12,2)</f>
        <v>44587.42</v>
      </c>
      <c r="M151" s="422"/>
      <c r="N151" s="400"/>
      <c r="O151" s="402">
        <f>ROUND(O150/12,2)</f>
        <v>44587.38</v>
      </c>
    </row>
    <row r="152" spans="1:15" ht="16" thickBot="1">
      <c r="A152" s="2148"/>
      <c r="B152" s="409" t="s">
        <v>226</v>
      </c>
      <c r="C152" s="413">
        <f>C150/12</f>
        <v>39315.083333333336</v>
      </c>
      <c r="D152" s="201">
        <f>ROUND(D151/160.33,2)</f>
        <v>278.10000000000002</v>
      </c>
      <c r="E152" s="416"/>
      <c r="F152" s="201">
        <f t="shared" ref="F152:O152" si="49">ROUND(F151/160.33,2)</f>
        <v>278.10000000000002</v>
      </c>
      <c r="G152" s="201">
        <f t="shared" si="49"/>
        <v>245.21</v>
      </c>
      <c r="H152" s="201">
        <f t="shared" si="49"/>
        <v>278.10000000000002</v>
      </c>
      <c r="I152" s="201">
        <f t="shared" si="49"/>
        <v>245.21</v>
      </c>
      <c r="J152" s="201">
        <f t="shared" si="49"/>
        <v>278.10000000000002</v>
      </c>
      <c r="K152" s="201">
        <f t="shared" si="49"/>
        <v>245.21</v>
      </c>
      <c r="L152" s="201">
        <f t="shared" si="49"/>
        <v>278.10000000000002</v>
      </c>
      <c r="M152" s="201">
        <f t="shared" si="49"/>
        <v>0</v>
      </c>
      <c r="N152" s="201">
        <f t="shared" si="49"/>
        <v>0</v>
      </c>
      <c r="O152" s="201">
        <f t="shared" si="49"/>
        <v>278.10000000000002</v>
      </c>
    </row>
    <row r="153" spans="1:15">
      <c r="A153" s="2147">
        <v>50</v>
      </c>
      <c r="B153" s="207" t="s">
        <v>96</v>
      </c>
      <c r="C153" s="203">
        <v>521094</v>
      </c>
      <c r="D153" s="196">
        <f>ROUND((C153*(1+'Løntabel gældende fra'!$D$7%)),0)</f>
        <v>590975</v>
      </c>
      <c r="E153" s="204">
        <v>521094</v>
      </c>
      <c r="F153" s="205">
        <f>ROUND((E153*(1+'Løntabel gældende fra'!$D$7%)),0)</f>
        <v>590975</v>
      </c>
      <c r="G153" s="419">
        <v>521094</v>
      </c>
      <c r="H153" s="196">
        <f>ROUND((G153*(1+'Løntabel gældende fra'!$D$7%)),0)</f>
        <v>590975</v>
      </c>
      <c r="I153" s="420">
        <v>521094</v>
      </c>
      <c r="J153" s="205">
        <f>ROUND((I153*(1+'Løntabel gældende fra'!$D$7%)),0)</f>
        <v>590975</v>
      </c>
      <c r="K153" s="419">
        <v>521094</v>
      </c>
      <c r="L153" s="196">
        <f>ROUND((K153*(1+'Løntabel gældende fra'!$D$7%)),0)</f>
        <v>590975</v>
      </c>
      <c r="M153" s="423"/>
      <c r="N153" s="401">
        <v>521094.47</v>
      </c>
      <c r="O153" s="210">
        <f>ROUND(N153*(1+'Løntabel gældende fra'!$D$7%),2)</f>
        <v>590975.31999999995</v>
      </c>
    </row>
    <row r="154" spans="1:15">
      <c r="A154" s="2145"/>
      <c r="B154" s="407" t="s">
        <v>231</v>
      </c>
      <c r="C154" s="410"/>
      <c r="D154" s="417">
        <f>ROUND(D153/12,2)</f>
        <v>49247.92</v>
      </c>
      <c r="E154" s="414">
        <f>E153/12</f>
        <v>43424.5</v>
      </c>
      <c r="F154" s="399">
        <f>ROUND(F153/12,2)</f>
        <v>49247.92</v>
      </c>
      <c r="G154" s="410">
        <f>G153/12</f>
        <v>43424.5</v>
      </c>
      <c r="H154" s="417">
        <f>ROUND(H153/12,2)</f>
        <v>49247.92</v>
      </c>
      <c r="I154" s="414">
        <f>I153/12</f>
        <v>43424.5</v>
      </c>
      <c r="J154" s="399">
        <f>ROUND(J153/12,2)</f>
        <v>49247.92</v>
      </c>
      <c r="K154" s="410">
        <f>K153/12</f>
        <v>43424.5</v>
      </c>
      <c r="L154" s="417">
        <f>ROUND(L153/12,2)</f>
        <v>49247.92</v>
      </c>
      <c r="M154" s="422"/>
      <c r="N154" s="400"/>
      <c r="O154" s="402">
        <f>ROUND(O153/12,2)</f>
        <v>49247.94</v>
      </c>
    </row>
    <row r="155" spans="1:15" ht="16" thickBot="1">
      <c r="A155" s="2146"/>
      <c r="B155" s="408" t="s">
        <v>226</v>
      </c>
      <c r="C155" s="200">
        <f>C153/12</f>
        <v>43424.5</v>
      </c>
      <c r="D155" s="201">
        <f>ROUND(D154/160.33,2)</f>
        <v>307.17</v>
      </c>
      <c r="E155" s="415"/>
      <c r="F155" s="201">
        <f t="shared" ref="F155:O155" si="50">ROUND(F154/160.33,2)</f>
        <v>307.17</v>
      </c>
      <c r="G155" s="201">
        <f t="shared" si="50"/>
        <v>270.83999999999997</v>
      </c>
      <c r="H155" s="201">
        <f t="shared" si="50"/>
        <v>307.17</v>
      </c>
      <c r="I155" s="201">
        <f t="shared" si="50"/>
        <v>270.83999999999997</v>
      </c>
      <c r="J155" s="201">
        <f t="shared" si="50"/>
        <v>307.17</v>
      </c>
      <c r="K155" s="201">
        <f t="shared" si="50"/>
        <v>270.83999999999997</v>
      </c>
      <c r="L155" s="201">
        <f t="shared" si="50"/>
        <v>307.17</v>
      </c>
      <c r="M155" s="201">
        <f t="shared" si="50"/>
        <v>0</v>
      </c>
      <c r="N155" s="201">
        <f t="shared" si="50"/>
        <v>0</v>
      </c>
      <c r="O155" s="201">
        <f t="shared" si="50"/>
        <v>307.17</v>
      </c>
    </row>
    <row r="156" spans="1:15">
      <c r="A156" s="2144">
        <v>51</v>
      </c>
      <c r="B156" s="206" t="s">
        <v>96</v>
      </c>
      <c r="C156" s="195">
        <v>592911</v>
      </c>
      <c r="D156" s="199">
        <f>ROUND((C156*(1+'Løntabel gældende fra'!$D$7%)),0)</f>
        <v>672423</v>
      </c>
      <c r="E156" s="197">
        <v>592911</v>
      </c>
      <c r="F156" s="198">
        <f>ROUND((E156*(1+'Løntabel gældende fra'!$D$7%)),0)</f>
        <v>672423</v>
      </c>
      <c r="G156" s="208">
        <v>592911</v>
      </c>
      <c r="H156" s="199">
        <f>ROUND((G156*(1+'Løntabel gældende fra'!$D$7%)),0)</f>
        <v>672423</v>
      </c>
      <c r="I156" s="209">
        <v>592911</v>
      </c>
      <c r="J156" s="198">
        <f>ROUND((I156*(1+'Løntabel gældende fra'!$D$7%)),0)</f>
        <v>672423</v>
      </c>
      <c r="K156" s="208">
        <v>592911</v>
      </c>
      <c r="L156" s="199">
        <f>ROUND((K156*(1+'Løntabel gældende fra'!$D$7%)),0)</f>
        <v>672423</v>
      </c>
      <c r="M156" s="424"/>
      <c r="N156" s="403">
        <v>592911.94999999995</v>
      </c>
      <c r="O156" s="404">
        <f>ROUND(N156*(1+'Løntabel gældende fra'!$D$7%),2)</f>
        <v>672423.81</v>
      </c>
    </row>
    <row r="157" spans="1:15">
      <c r="A157" s="2145"/>
      <c r="B157" s="407" t="s">
        <v>97</v>
      </c>
      <c r="C157" s="410"/>
      <c r="D157" s="417">
        <f>ROUND(D156/12,2)</f>
        <v>56035.25</v>
      </c>
      <c r="E157" s="414">
        <f>E156/12</f>
        <v>49409.25</v>
      </c>
      <c r="F157" s="399">
        <f>ROUND(F156/12,2)</f>
        <v>56035.25</v>
      </c>
      <c r="G157" s="410">
        <f>G156/12</f>
        <v>49409.25</v>
      </c>
      <c r="H157" s="417">
        <f>ROUND(H156/12,2)</f>
        <v>56035.25</v>
      </c>
      <c r="I157" s="414">
        <f>I156/12</f>
        <v>49409.25</v>
      </c>
      <c r="J157" s="399">
        <f>ROUND(J156/12,2)</f>
        <v>56035.25</v>
      </c>
      <c r="K157" s="410">
        <f>K156/12</f>
        <v>49409.25</v>
      </c>
      <c r="L157" s="417">
        <f>ROUND(L156/12,2)</f>
        <v>56035.25</v>
      </c>
      <c r="M157" s="422"/>
      <c r="N157" s="400"/>
      <c r="O157" s="402">
        <f>ROUND(O156/12,2)</f>
        <v>56035.32</v>
      </c>
    </row>
    <row r="158" spans="1:15" ht="16" thickBot="1">
      <c r="A158" s="2146"/>
      <c r="B158" s="408" t="s">
        <v>226</v>
      </c>
      <c r="C158" s="200">
        <f>C156/12</f>
        <v>49409.25</v>
      </c>
      <c r="D158" s="201">
        <f>ROUND(D157/160.33,2)</f>
        <v>349.5</v>
      </c>
      <c r="E158" s="415"/>
      <c r="F158" s="201">
        <f t="shared" ref="F158:O158" si="51">ROUND(F157/160.33,2)</f>
        <v>349.5</v>
      </c>
      <c r="G158" s="201">
        <f t="shared" si="51"/>
        <v>308.17</v>
      </c>
      <c r="H158" s="201">
        <f t="shared" si="51"/>
        <v>349.5</v>
      </c>
      <c r="I158" s="201">
        <f t="shared" si="51"/>
        <v>308.17</v>
      </c>
      <c r="J158" s="201">
        <f t="shared" si="51"/>
        <v>349.5</v>
      </c>
      <c r="K158" s="201">
        <f t="shared" si="51"/>
        <v>308.17</v>
      </c>
      <c r="L158" s="201">
        <f t="shared" si="51"/>
        <v>349.5</v>
      </c>
      <c r="M158" s="201">
        <f t="shared" si="51"/>
        <v>0</v>
      </c>
      <c r="N158" s="201">
        <f t="shared" si="51"/>
        <v>0</v>
      </c>
      <c r="O158" s="201">
        <f t="shared" si="51"/>
        <v>349.5</v>
      </c>
    </row>
  </sheetData>
  <sheetProtection sheet="1" objects="1" scenarios="1"/>
  <mergeCells count="54">
    <mergeCell ref="A129:A131"/>
    <mergeCell ref="A132:A134"/>
    <mergeCell ref="A150:A152"/>
    <mergeCell ref="A153:A155"/>
    <mergeCell ref="A135:A137"/>
    <mergeCell ref="A138:A140"/>
    <mergeCell ref="A141:A143"/>
    <mergeCell ref="A144:A146"/>
    <mergeCell ref="A147:A149"/>
    <mergeCell ref="A114:A116"/>
    <mergeCell ref="A117:A119"/>
    <mergeCell ref="A120:A122"/>
    <mergeCell ref="A123:A125"/>
    <mergeCell ref="A126:A128"/>
    <mergeCell ref="A99:A101"/>
    <mergeCell ref="A102:A104"/>
    <mergeCell ref="A105:A107"/>
    <mergeCell ref="A108:A110"/>
    <mergeCell ref="A111:A113"/>
    <mergeCell ref="A84:A86"/>
    <mergeCell ref="A87:A89"/>
    <mergeCell ref="A90:A92"/>
    <mergeCell ref="A93:A95"/>
    <mergeCell ref="A96:A98"/>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s>
  <phoneticPr fontId="6" type="noConversion"/>
  <pageMargins left="0.47244094488188981" right="0.47244094488188981" top="0.74803149606299213" bottom="0.74803149606299213" header="0.31496062992125984" footer="0.31496062992125984"/>
  <pageSetup paperSize="9" scale="86"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8"/>
  <sheetViews>
    <sheetView view="pageBreakPreview" zoomScale="125" zoomScaleNormal="125" zoomScalePageLayoutView="125" workbookViewId="0">
      <selection activeCell="E19" sqref="E19"/>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50" t="s">
        <v>511</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161" t="s">
        <v>29</v>
      </c>
      <c r="B7" s="2161"/>
      <c r="C7" s="638">
        <v>44652</v>
      </c>
      <c r="D7" s="30">
        <v>13.410399999999999</v>
      </c>
      <c r="E7" s="29" t="s">
        <v>33</v>
      </c>
      <c r="F7" s="29"/>
      <c r="G7" s="144">
        <v>44835</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162" t="s">
        <v>32</v>
      </c>
      <c r="D10" s="2163"/>
      <c r="E10" s="2163"/>
      <c r="F10" s="2163"/>
      <c r="G10" s="2163"/>
      <c r="H10" s="2"/>
      <c r="I10" s="2"/>
    </row>
    <row r="11" spans="1:9">
      <c r="A11" s="220">
        <v>40999</v>
      </c>
      <c r="B11" s="31">
        <v>1</v>
      </c>
      <c r="C11" s="2162"/>
      <c r="D11" s="2163"/>
      <c r="E11" s="2163"/>
      <c r="F11" s="2163"/>
      <c r="G11" s="2163"/>
      <c r="H11" s="2"/>
      <c r="I11" s="2"/>
    </row>
    <row r="12" spans="1:9">
      <c r="A12" s="96">
        <v>41000</v>
      </c>
      <c r="B12" s="31">
        <v>1.304</v>
      </c>
      <c r="C12" s="20"/>
      <c r="D12" s="20"/>
      <c r="E12" s="20"/>
      <c r="F12" s="20"/>
      <c r="G12" s="20"/>
      <c r="H12" s="2"/>
      <c r="I12" s="2"/>
    </row>
    <row r="13" spans="1:9">
      <c r="A13" s="96">
        <v>41365</v>
      </c>
      <c r="B13" s="31">
        <v>1.304</v>
      </c>
      <c r="C13" s="20"/>
      <c r="D13" s="20"/>
      <c r="E13" s="24"/>
      <c r="F13" s="20"/>
      <c r="G13" s="20"/>
      <c r="H13" s="2"/>
      <c r="I13" s="2"/>
    </row>
    <row r="14" spans="1:9">
      <c r="A14" s="221">
        <v>41730</v>
      </c>
      <c r="B14" s="18">
        <v>1.7161999999999999</v>
      </c>
      <c r="C14" s="20"/>
      <c r="D14" s="20"/>
      <c r="E14" s="20"/>
      <c r="F14" s="20"/>
      <c r="G14" s="20"/>
      <c r="H14" s="2"/>
      <c r="I14" s="2"/>
    </row>
    <row r="15" spans="1:9">
      <c r="A15" s="221">
        <v>42095</v>
      </c>
      <c r="B15" s="18">
        <v>2.1745000000000001</v>
      </c>
      <c r="C15" s="20"/>
      <c r="D15" s="20"/>
      <c r="E15" s="20"/>
      <c r="F15" s="20"/>
      <c r="G15" s="20"/>
      <c r="H15" s="2"/>
      <c r="I15" s="2"/>
    </row>
    <row r="16" spans="1:9">
      <c r="A16" s="221">
        <v>42461</v>
      </c>
      <c r="B16" s="18">
        <v>2.9882</v>
      </c>
      <c r="C16" s="20"/>
      <c r="D16" s="20"/>
      <c r="E16" s="20"/>
      <c r="F16" s="20"/>
      <c r="G16" s="20"/>
      <c r="H16" s="2"/>
      <c r="I16" s="2"/>
    </row>
    <row r="17" spans="1:12">
      <c r="A17" s="221">
        <v>42826</v>
      </c>
      <c r="B17" s="18">
        <v>4.2446000000000002</v>
      </c>
      <c r="C17" s="20"/>
      <c r="D17" s="20"/>
      <c r="E17" s="20"/>
      <c r="F17" s="20"/>
      <c r="G17" s="20"/>
      <c r="H17" s="2"/>
      <c r="I17" s="2"/>
      <c r="L17" s="13"/>
    </row>
    <row r="18" spans="1:12">
      <c r="A18" s="221">
        <v>43070</v>
      </c>
      <c r="B18" s="18">
        <v>5.7702999999999998</v>
      </c>
      <c r="C18" s="20"/>
      <c r="D18" s="20"/>
      <c r="E18" s="20"/>
      <c r="F18" s="29"/>
      <c r="G18" s="20"/>
      <c r="H18" s="2"/>
      <c r="I18" s="2"/>
    </row>
    <row r="19" spans="1:12">
      <c r="A19" s="782">
        <v>43191</v>
      </c>
      <c r="B19" s="783">
        <v>6.9683000000000002</v>
      </c>
      <c r="C19" s="20"/>
      <c r="D19" s="20"/>
      <c r="E19" s="20"/>
      <c r="F19" s="20"/>
      <c r="G19" s="20"/>
      <c r="H19" s="2"/>
      <c r="I19" s="2"/>
    </row>
    <row r="20" spans="1:12">
      <c r="A20" s="782">
        <v>43373</v>
      </c>
      <c r="B20" s="783">
        <v>7.4972000000000003</v>
      </c>
      <c r="C20" s="20"/>
      <c r="D20" s="20"/>
      <c r="E20" s="20"/>
      <c r="F20" s="20"/>
      <c r="G20" s="20"/>
      <c r="H20" s="2"/>
      <c r="I20" s="2"/>
    </row>
    <row r="21" spans="1:12">
      <c r="A21" s="782">
        <v>43556</v>
      </c>
      <c r="B21" s="783">
        <v>8.4910999999999994</v>
      </c>
      <c r="C21" s="20"/>
      <c r="D21" s="20"/>
      <c r="E21" s="20"/>
      <c r="F21" s="20"/>
      <c r="G21" s="20"/>
      <c r="H21" s="2"/>
      <c r="I21" s="2"/>
    </row>
    <row r="22" spans="1:12">
      <c r="A22" s="782">
        <v>43739</v>
      </c>
      <c r="B22" s="783">
        <v>9.4007000000000005</v>
      </c>
      <c r="C22" s="20"/>
      <c r="D22" s="20"/>
      <c r="E22" s="20"/>
      <c r="F22" s="20"/>
      <c r="G22" s="20"/>
      <c r="H22" s="2"/>
      <c r="I22" s="2"/>
    </row>
    <row r="23" spans="1:12">
      <c r="A23" s="782">
        <v>43922</v>
      </c>
      <c r="B23" s="783">
        <v>10.323600000000001</v>
      </c>
      <c r="C23" s="20"/>
      <c r="D23" s="20"/>
      <c r="E23" s="20"/>
      <c r="F23" s="20"/>
      <c r="G23" s="20"/>
      <c r="H23" s="2"/>
      <c r="I23" s="2"/>
    </row>
    <row r="24" spans="1:12">
      <c r="A24" s="782">
        <v>44228</v>
      </c>
      <c r="B24" s="783">
        <v>10.2211</v>
      </c>
      <c r="C24" s="20"/>
      <c r="D24" s="20"/>
      <c r="E24" s="20"/>
      <c r="F24" s="20"/>
      <c r="G24" s="20"/>
      <c r="H24" s="2"/>
      <c r="I24" s="2"/>
    </row>
    <row r="25" spans="1:12">
      <c r="A25" s="782">
        <v>44287</v>
      </c>
      <c r="B25" s="783">
        <v>11.1029</v>
      </c>
      <c r="C25" s="20"/>
      <c r="D25" s="20"/>
      <c r="E25" s="20"/>
      <c r="F25" s="20"/>
      <c r="G25" s="20"/>
      <c r="H25" s="2"/>
      <c r="I25" s="2"/>
    </row>
    <row r="26" spans="1:12">
      <c r="A26" s="782">
        <v>44470</v>
      </c>
      <c r="B26" s="783">
        <v>11.4336</v>
      </c>
      <c r="C26" s="20"/>
      <c r="D26" s="20"/>
      <c r="E26" s="20"/>
      <c r="F26" s="20"/>
      <c r="G26" s="20"/>
      <c r="H26" s="2"/>
      <c r="I26" s="2"/>
    </row>
    <row r="27" spans="1:12" ht="16" thickBot="1">
      <c r="A27" s="802">
        <v>44652</v>
      </c>
      <c r="B27" s="803">
        <v>13.410399999999999</v>
      </c>
      <c r="C27" s="20"/>
      <c r="D27" s="20"/>
      <c r="E27" s="20"/>
      <c r="F27" s="20"/>
      <c r="G27" s="20"/>
      <c r="H27" s="2"/>
      <c r="I27" s="2"/>
    </row>
    <row r="28" spans="1:12">
      <c r="A28" s="944"/>
      <c r="B28" s="104"/>
      <c r="C28" s="20"/>
      <c r="D28" s="20"/>
      <c r="E28" s="20"/>
      <c r="F28" s="20"/>
      <c r="G28" s="20"/>
      <c r="H28" s="2"/>
      <c r="I28" s="2"/>
    </row>
  </sheetData>
  <sheetProtection sheet="1" objects="1" scenarios="1"/>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topLeftCell="A25" zoomScale="130" zoomScaleNormal="130" workbookViewId="0">
      <selection activeCell="B37" sqref="B37:I41"/>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100" t="s">
        <v>280</v>
      </c>
      <c r="B1" s="1106" t="s">
        <v>272</v>
      </c>
      <c r="C1" s="1106"/>
      <c r="D1" s="1106"/>
      <c r="E1" s="1106"/>
      <c r="F1" s="1106"/>
      <c r="G1" s="1106"/>
      <c r="H1" s="1106"/>
      <c r="I1" s="1107"/>
    </row>
    <row r="2" spans="1:9" ht="16" thickBot="1">
      <c r="A2" s="1101"/>
      <c r="B2" s="1108"/>
      <c r="C2" s="1108"/>
      <c r="D2" s="1108"/>
      <c r="E2" s="1108"/>
      <c r="F2" s="1108"/>
      <c r="G2" s="1108"/>
      <c r="H2" s="1108"/>
      <c r="I2" s="1109"/>
    </row>
    <row r="3" spans="1:9" ht="42" customHeight="1" thickBot="1">
      <c r="A3" s="1101"/>
      <c r="B3" s="1092" t="s">
        <v>283</v>
      </c>
      <c r="C3" s="1093"/>
      <c r="D3" s="1093"/>
      <c r="E3" s="1093"/>
      <c r="F3" s="1093"/>
      <c r="G3" s="1093"/>
      <c r="H3" s="1093"/>
      <c r="I3" s="1094"/>
    </row>
    <row r="4" spans="1:9" ht="15" customHeight="1">
      <c r="A4" s="1101"/>
      <c r="B4" s="517" t="s">
        <v>270</v>
      </c>
      <c r="C4" s="547" t="s">
        <v>255</v>
      </c>
      <c r="D4" s="548" t="s">
        <v>256</v>
      </c>
      <c r="E4" s="548" t="s">
        <v>257</v>
      </c>
      <c r="F4" s="547" t="s">
        <v>258</v>
      </c>
      <c r="G4" s="1121" t="s">
        <v>287</v>
      </c>
      <c r="H4" s="1121" t="s">
        <v>289</v>
      </c>
      <c r="I4" s="1123" t="s">
        <v>263</v>
      </c>
    </row>
    <row r="5" spans="1:9" ht="31" thickBot="1">
      <c r="A5" s="1101"/>
      <c r="B5" s="518" t="s">
        <v>269</v>
      </c>
      <c r="C5" s="549" t="s">
        <v>274</v>
      </c>
      <c r="D5" s="549" t="s">
        <v>275</v>
      </c>
      <c r="E5" s="549" t="s">
        <v>276</v>
      </c>
      <c r="F5" s="549" t="s">
        <v>277</v>
      </c>
      <c r="G5" s="1122"/>
      <c r="H5" s="1122"/>
      <c r="I5" s="1124"/>
    </row>
    <row r="6" spans="1:9">
      <c r="A6" s="1101"/>
      <c r="B6" s="533" t="s">
        <v>259</v>
      </c>
      <c r="C6" s="541" t="s">
        <v>260</v>
      </c>
      <c r="D6" s="541" t="s">
        <v>260</v>
      </c>
      <c r="E6" s="541" t="s">
        <v>260</v>
      </c>
      <c r="F6" s="541" t="s">
        <v>260</v>
      </c>
      <c r="G6" s="512" t="s">
        <v>265</v>
      </c>
      <c r="H6" s="512" t="s">
        <v>265</v>
      </c>
      <c r="I6" s="513" t="s">
        <v>265</v>
      </c>
    </row>
    <row r="7" spans="1:9">
      <c r="A7" s="1101"/>
      <c r="B7" s="534" t="s">
        <v>282</v>
      </c>
      <c r="C7" s="539" t="s">
        <v>260</v>
      </c>
      <c r="D7" s="539" t="s">
        <v>260</v>
      </c>
      <c r="E7" s="539" t="s">
        <v>260</v>
      </c>
      <c r="F7" s="539" t="s">
        <v>260</v>
      </c>
      <c r="G7" s="539" t="s">
        <v>266</v>
      </c>
      <c r="H7" s="511" t="s">
        <v>265</v>
      </c>
      <c r="I7" s="514" t="s">
        <v>266</v>
      </c>
    </row>
    <row r="8" spans="1:9">
      <c r="A8" s="1101"/>
      <c r="B8" s="534" t="s">
        <v>13</v>
      </c>
      <c r="C8" s="539" t="s">
        <v>260</v>
      </c>
      <c r="D8" s="539" t="s">
        <v>260</v>
      </c>
      <c r="E8" s="539" t="s">
        <v>260</v>
      </c>
      <c r="F8" s="539" t="s">
        <v>260</v>
      </c>
      <c r="G8" s="539" t="s">
        <v>265</v>
      </c>
      <c r="H8" s="539" t="s">
        <v>266</v>
      </c>
      <c r="I8" s="514" t="s">
        <v>265</v>
      </c>
    </row>
    <row r="9" spans="1:9">
      <c r="A9" s="1101"/>
      <c r="B9" s="534" t="s">
        <v>261</v>
      </c>
      <c r="C9" s="539" t="s">
        <v>260</v>
      </c>
      <c r="D9" s="539" t="s">
        <v>260</v>
      </c>
      <c r="E9" s="539" t="s">
        <v>260</v>
      </c>
      <c r="F9" s="539"/>
      <c r="G9" s="539" t="s">
        <v>266</v>
      </c>
      <c r="H9" s="539" t="s">
        <v>265</v>
      </c>
      <c r="I9" s="514" t="s">
        <v>265</v>
      </c>
    </row>
    <row r="10" spans="1:9">
      <c r="A10" s="1101"/>
      <c r="B10" s="534" t="s">
        <v>262</v>
      </c>
      <c r="C10" s="539" t="s">
        <v>260</v>
      </c>
      <c r="D10" s="539" t="s">
        <v>260</v>
      </c>
      <c r="E10" s="539" t="s">
        <v>260</v>
      </c>
      <c r="F10" s="539" t="s">
        <v>260</v>
      </c>
      <c r="G10" s="539" t="s">
        <v>265</v>
      </c>
      <c r="H10" s="539" t="s">
        <v>265</v>
      </c>
      <c r="I10" s="514" t="s">
        <v>265</v>
      </c>
    </row>
    <row r="11" spans="1:9">
      <c r="A11" s="1101"/>
      <c r="B11" s="534" t="s">
        <v>431</v>
      </c>
      <c r="C11" s="778" t="s">
        <v>260</v>
      </c>
      <c r="D11" s="778" t="s">
        <v>260</v>
      </c>
      <c r="E11" s="778" t="s">
        <v>260</v>
      </c>
      <c r="F11" s="778" t="s">
        <v>260</v>
      </c>
      <c r="G11" s="779" t="s">
        <v>265</v>
      </c>
      <c r="H11" s="779" t="s">
        <v>265</v>
      </c>
      <c r="I11" s="780" t="s">
        <v>265</v>
      </c>
    </row>
    <row r="12" spans="1:9">
      <c r="A12" s="1101"/>
      <c r="B12" s="1125" t="s">
        <v>295</v>
      </c>
      <c r="C12" s="1120"/>
      <c r="D12" s="1120"/>
      <c r="E12" s="1120"/>
      <c r="F12" s="1120" t="s">
        <v>268</v>
      </c>
      <c r="G12" s="1112" t="s">
        <v>265</v>
      </c>
      <c r="H12" s="1112" t="s">
        <v>265</v>
      </c>
      <c r="I12" s="1114" t="s">
        <v>265</v>
      </c>
    </row>
    <row r="13" spans="1:9">
      <c r="A13" s="1101"/>
      <c r="B13" s="1125"/>
      <c r="C13" s="1120"/>
      <c r="D13" s="1120"/>
      <c r="E13" s="1120"/>
      <c r="F13" s="1120"/>
      <c r="G13" s="1113"/>
      <c r="H13" s="1113"/>
      <c r="I13" s="1115"/>
    </row>
    <row r="14" spans="1:9" ht="32">
      <c r="A14" s="1101"/>
      <c r="B14" s="538" t="s">
        <v>300</v>
      </c>
      <c r="C14" s="539" t="s">
        <v>268</v>
      </c>
      <c r="D14" s="539" t="s">
        <v>268</v>
      </c>
      <c r="E14" s="539" t="s">
        <v>268</v>
      </c>
      <c r="F14" s="539" t="s">
        <v>268</v>
      </c>
      <c r="G14" s="541" t="s">
        <v>265</v>
      </c>
      <c r="H14" s="541" t="s">
        <v>265</v>
      </c>
      <c r="I14" s="542" t="s">
        <v>265</v>
      </c>
    </row>
    <row r="15" spans="1:9">
      <c r="A15" s="1101"/>
      <c r="B15" s="534" t="s">
        <v>271</v>
      </c>
      <c r="C15" s="539" t="s">
        <v>260</v>
      </c>
      <c r="D15" s="539" t="s">
        <v>260</v>
      </c>
      <c r="E15" s="539" t="s">
        <v>260</v>
      </c>
      <c r="F15" s="539" t="s">
        <v>260</v>
      </c>
      <c r="G15" s="539" t="s">
        <v>265</v>
      </c>
      <c r="H15" s="539" t="s">
        <v>266</v>
      </c>
      <c r="I15" s="514" t="s">
        <v>265</v>
      </c>
    </row>
    <row r="16" spans="1:9">
      <c r="A16" s="1101"/>
      <c r="B16" s="1118" t="s">
        <v>510</v>
      </c>
      <c r="C16" s="1119" t="s">
        <v>260</v>
      </c>
      <c r="D16" s="1120" t="s">
        <v>260</v>
      </c>
      <c r="E16" s="1120" t="s">
        <v>260</v>
      </c>
      <c r="F16" s="1119" t="s">
        <v>260</v>
      </c>
      <c r="G16" s="1112" t="s">
        <v>266</v>
      </c>
      <c r="H16" s="1112" t="s">
        <v>266</v>
      </c>
      <c r="I16" s="1114" t="s">
        <v>265</v>
      </c>
    </row>
    <row r="17" spans="1:9" ht="1" customHeight="1">
      <c r="A17" s="1101"/>
      <c r="B17" s="1118"/>
      <c r="C17" s="1119"/>
      <c r="D17" s="1120"/>
      <c r="E17" s="1120"/>
      <c r="F17" s="1119"/>
      <c r="G17" s="1113"/>
      <c r="H17" s="1113"/>
      <c r="I17" s="1115"/>
    </row>
    <row r="18" spans="1:9" ht="45">
      <c r="A18" s="1101"/>
      <c r="B18" s="534" t="s">
        <v>284</v>
      </c>
      <c r="C18" s="539" t="s">
        <v>260</v>
      </c>
      <c r="D18" s="539" t="s">
        <v>260</v>
      </c>
      <c r="E18" s="539" t="s">
        <v>260</v>
      </c>
      <c r="F18" s="539" t="s">
        <v>260</v>
      </c>
      <c r="G18" s="667" t="s">
        <v>346</v>
      </c>
      <c r="H18" s="539" t="s">
        <v>266</v>
      </c>
      <c r="I18" s="514" t="s">
        <v>265</v>
      </c>
    </row>
    <row r="19" spans="1:9">
      <c r="A19" s="1101"/>
      <c r="B19" s="534" t="s">
        <v>67</v>
      </c>
      <c r="C19" s="539" t="s">
        <v>260</v>
      </c>
      <c r="D19" s="539" t="s">
        <v>260</v>
      </c>
      <c r="E19" s="539" t="s">
        <v>260</v>
      </c>
      <c r="F19" s="539" t="s">
        <v>260</v>
      </c>
      <c r="G19" s="539" t="s">
        <v>266</v>
      </c>
      <c r="H19" s="540" t="s">
        <v>266</v>
      </c>
      <c r="I19" s="514" t="s">
        <v>266</v>
      </c>
    </row>
    <row r="20" spans="1:9">
      <c r="A20" s="1101"/>
      <c r="B20" s="534" t="s">
        <v>267</v>
      </c>
      <c r="C20" s="539" t="s">
        <v>260</v>
      </c>
      <c r="D20" s="539" t="s">
        <v>260</v>
      </c>
      <c r="E20" s="539" t="s">
        <v>260</v>
      </c>
      <c r="F20" s="539" t="s">
        <v>260</v>
      </c>
      <c r="G20" s="539" t="s">
        <v>265</v>
      </c>
      <c r="H20" s="1116" t="s">
        <v>288</v>
      </c>
      <c r="I20" s="514" t="s">
        <v>265</v>
      </c>
    </row>
    <row r="21" spans="1:9" ht="16" thickBot="1">
      <c r="A21" s="1101"/>
      <c r="B21" s="535" t="s">
        <v>264</v>
      </c>
      <c r="C21" s="515" t="s">
        <v>260</v>
      </c>
      <c r="D21" s="515" t="s">
        <v>260</v>
      </c>
      <c r="E21" s="515" t="s">
        <v>260</v>
      </c>
      <c r="F21" s="515" t="s">
        <v>260</v>
      </c>
      <c r="G21" s="515" t="s">
        <v>265</v>
      </c>
      <c r="H21" s="1117"/>
      <c r="I21" s="516" t="s">
        <v>265</v>
      </c>
    </row>
    <row r="22" spans="1:9">
      <c r="A22" s="1101"/>
      <c r="B22" s="536" t="s">
        <v>246</v>
      </c>
      <c r="C22" s="526"/>
      <c r="D22" s="526"/>
      <c r="E22" s="527"/>
      <c r="F22" s="527"/>
      <c r="G22" s="528"/>
      <c r="H22" s="528"/>
      <c r="I22" s="529"/>
    </row>
    <row r="23" spans="1:9">
      <c r="A23" s="1101"/>
      <c r="B23" s="543" t="s">
        <v>247</v>
      </c>
      <c r="C23" s="543"/>
      <c r="D23" s="543"/>
      <c r="E23" s="544"/>
      <c r="F23" s="544"/>
      <c r="G23" s="59"/>
      <c r="H23" s="59"/>
      <c r="I23" s="530"/>
    </row>
    <row r="24" spans="1:9">
      <c r="A24" s="1101"/>
      <c r="B24" s="543" t="s">
        <v>470</v>
      </c>
      <c r="C24" s="543"/>
      <c r="D24" s="543"/>
      <c r="E24" s="544"/>
      <c r="F24" s="544"/>
      <c r="G24" s="59"/>
      <c r="H24" s="59"/>
      <c r="I24" s="530"/>
    </row>
    <row r="25" spans="1:9">
      <c r="A25" s="1101"/>
      <c r="B25" s="1110" t="s">
        <v>471</v>
      </c>
      <c r="C25" s="1110"/>
      <c r="D25" s="1110"/>
      <c r="E25" s="1110"/>
      <c r="F25" s="1110"/>
      <c r="G25" s="1110"/>
      <c r="H25" s="1110"/>
      <c r="I25" s="1111"/>
    </row>
    <row r="26" spans="1:9">
      <c r="A26" s="1101"/>
      <c r="B26" s="1110"/>
      <c r="C26" s="1110"/>
      <c r="D26" s="1110"/>
      <c r="E26" s="1110"/>
      <c r="F26" s="1110"/>
      <c r="G26" s="1110"/>
      <c r="H26" s="1110"/>
      <c r="I26" s="1111"/>
    </row>
    <row r="27" spans="1:9" ht="16" thickBot="1">
      <c r="A27" s="1102"/>
      <c r="B27" s="531"/>
      <c r="C27" s="531"/>
      <c r="D27" s="531"/>
      <c r="E27" s="531"/>
      <c r="F27" s="531"/>
      <c r="G27" s="531"/>
      <c r="H27" s="531"/>
      <c r="I27" s="532"/>
    </row>
    <row r="28" spans="1:9">
      <c r="B28" s="519"/>
      <c r="C28" s="519"/>
      <c r="D28" s="519"/>
      <c r="E28" s="519"/>
      <c r="F28" s="519"/>
      <c r="G28" s="519"/>
      <c r="H28" s="519"/>
      <c r="I28" s="519"/>
    </row>
    <row r="29" spans="1:9" ht="16" thickBot="1">
      <c r="B29" s="506"/>
      <c r="C29" s="506"/>
      <c r="D29" s="506"/>
      <c r="E29" s="80"/>
      <c r="F29" s="509"/>
      <c r="G29" s="510"/>
      <c r="H29" s="510"/>
      <c r="I29" s="510"/>
    </row>
    <row r="30" spans="1:9" ht="22" customHeight="1" thickBot="1">
      <c r="A30" s="1100" t="s">
        <v>279</v>
      </c>
      <c r="B30" s="1098" t="s">
        <v>273</v>
      </c>
      <c r="C30" s="1098"/>
      <c r="D30" s="1098"/>
      <c r="E30" s="1098"/>
      <c r="F30" s="1098"/>
      <c r="G30" s="1098"/>
      <c r="H30" s="1098"/>
      <c r="I30" s="1099"/>
    </row>
    <row r="31" spans="1:9" ht="37" customHeight="1" thickBot="1">
      <c r="A31" s="1101"/>
      <c r="B31" s="1095" t="s">
        <v>281</v>
      </c>
      <c r="C31" s="1096"/>
      <c r="D31" s="1096"/>
      <c r="E31" s="1096"/>
      <c r="F31" s="1096"/>
      <c r="G31" s="1096"/>
      <c r="H31" s="1096"/>
      <c r="I31" s="1097"/>
    </row>
    <row r="32" spans="1:9" ht="17" thickBot="1">
      <c r="A32" s="1101"/>
      <c r="B32" s="520" t="s">
        <v>291</v>
      </c>
      <c r="C32" s="520"/>
      <c r="D32" s="520"/>
      <c r="E32" s="520"/>
      <c r="F32" s="520"/>
      <c r="G32" s="1144" t="s">
        <v>57</v>
      </c>
      <c r="H32" s="1145"/>
      <c r="I32" s="1146"/>
    </row>
    <row r="33" spans="1:11">
      <c r="A33" s="1101"/>
      <c r="B33" s="521" t="s">
        <v>249</v>
      </c>
      <c r="C33" s="521"/>
      <c r="D33" s="521"/>
      <c r="E33" s="521"/>
      <c r="F33" s="521"/>
      <c r="G33" s="1141" t="s">
        <v>285</v>
      </c>
      <c r="H33" s="1142"/>
      <c r="I33" s="1143"/>
    </row>
    <row r="34" spans="1:11">
      <c r="A34" s="1101"/>
      <c r="B34" s="522" t="s">
        <v>301</v>
      </c>
      <c r="C34" s="522"/>
      <c r="D34" s="522"/>
      <c r="E34" s="522"/>
      <c r="F34" s="522"/>
      <c r="G34" s="1132" t="s">
        <v>286</v>
      </c>
      <c r="H34" s="1133"/>
      <c r="I34" s="1134"/>
    </row>
    <row r="35" spans="1:11" ht="16" thickBot="1">
      <c r="A35" s="1101"/>
      <c r="B35" s="523" t="s">
        <v>302</v>
      </c>
      <c r="C35" s="523"/>
      <c r="D35" s="523"/>
      <c r="E35" s="523"/>
      <c r="F35" s="523"/>
      <c r="G35" s="1135">
        <v>48</v>
      </c>
      <c r="H35" s="1136"/>
      <c r="I35" s="1137"/>
    </row>
    <row r="36" spans="1:11" ht="16" thickBot="1">
      <c r="A36" s="1101"/>
      <c r="B36" s="1103"/>
      <c r="C36" s="1104"/>
      <c r="D36" s="1104"/>
      <c r="E36" s="1104"/>
      <c r="F36" s="1104"/>
      <c r="G36" s="1104"/>
      <c r="H36" s="1104"/>
      <c r="I36" s="1105"/>
      <c r="J36" s="537"/>
      <c r="K36" s="537"/>
    </row>
    <row r="37" spans="1:11" ht="17" thickBot="1">
      <c r="A37" s="1101"/>
      <c r="B37" s="520" t="s">
        <v>290</v>
      </c>
      <c r="C37" s="520"/>
      <c r="D37" s="520"/>
      <c r="E37" s="520"/>
      <c r="F37" s="520"/>
      <c r="G37" s="1138" t="s">
        <v>57</v>
      </c>
      <c r="H37" s="1139"/>
      <c r="I37" s="1140"/>
    </row>
    <row r="38" spans="1:11" ht="16">
      <c r="A38" s="1101"/>
      <c r="B38" s="524" t="s">
        <v>251</v>
      </c>
      <c r="C38" s="524"/>
      <c r="D38" s="524"/>
      <c r="E38" s="524"/>
      <c r="F38" s="524"/>
      <c r="G38" s="1141" t="s">
        <v>531</v>
      </c>
      <c r="H38" s="1142"/>
      <c r="I38" s="1143"/>
    </row>
    <row r="39" spans="1:11">
      <c r="A39" s="1101"/>
      <c r="B39" s="522" t="s">
        <v>473</v>
      </c>
      <c r="C39" s="522"/>
      <c r="D39" s="522"/>
      <c r="E39" s="522"/>
      <c r="F39" s="522"/>
      <c r="G39" s="1132" t="s">
        <v>250</v>
      </c>
      <c r="H39" s="1133"/>
      <c r="I39" s="1134"/>
    </row>
    <row r="40" spans="1:11">
      <c r="A40" s="1101"/>
      <c r="B40" s="522" t="s">
        <v>498</v>
      </c>
      <c r="C40" s="522"/>
      <c r="D40" s="522"/>
      <c r="E40" s="522"/>
      <c r="F40" s="522"/>
      <c r="G40" s="1132" t="s">
        <v>468</v>
      </c>
      <c r="H40" s="1133"/>
      <c r="I40" s="1134"/>
    </row>
    <row r="41" spans="1:11" ht="16" thickBot="1">
      <c r="A41" s="1101"/>
      <c r="B41" s="523" t="s">
        <v>499</v>
      </c>
      <c r="C41" s="523"/>
      <c r="D41" s="523"/>
      <c r="E41" s="523"/>
      <c r="F41" s="523"/>
      <c r="G41" s="1135" t="s">
        <v>469</v>
      </c>
      <c r="H41" s="1136"/>
      <c r="I41" s="1137"/>
    </row>
    <row r="42" spans="1:11" ht="16" thickBot="1">
      <c r="A42" s="1101"/>
      <c r="B42" s="1103"/>
      <c r="C42" s="1104"/>
      <c r="D42" s="1104"/>
      <c r="E42" s="1104"/>
      <c r="F42" s="1104"/>
      <c r="G42" s="1104"/>
      <c r="H42" s="1104"/>
      <c r="I42" s="1105"/>
      <c r="J42" s="537"/>
      <c r="K42" s="537"/>
    </row>
    <row r="43" spans="1:11" ht="16">
      <c r="A43" s="1101"/>
      <c r="B43" s="507" t="s">
        <v>292</v>
      </c>
      <c r="C43" s="507"/>
      <c r="D43" s="507"/>
      <c r="E43" s="507"/>
      <c r="F43" s="507"/>
      <c r="G43" s="1126" t="s">
        <v>254</v>
      </c>
      <c r="H43" s="1127"/>
      <c r="I43" s="1128"/>
    </row>
    <row r="44" spans="1:11">
      <c r="A44" s="1101"/>
      <c r="B44" s="508" t="s">
        <v>293</v>
      </c>
      <c r="C44" s="508"/>
      <c r="D44" s="508"/>
      <c r="E44" s="508"/>
      <c r="F44" s="508"/>
      <c r="G44" s="1129"/>
      <c r="H44" s="1130"/>
      <c r="I44" s="1131"/>
    </row>
    <row r="45" spans="1:11">
      <c r="A45" s="1101"/>
      <c r="B45" s="525" t="s">
        <v>251</v>
      </c>
      <c r="C45" s="525"/>
      <c r="D45" s="525"/>
      <c r="E45" s="525"/>
      <c r="F45" s="525"/>
      <c r="G45" s="1132" t="s">
        <v>252</v>
      </c>
      <c r="H45" s="1133"/>
      <c r="I45" s="1134"/>
    </row>
    <row r="46" spans="1:11" ht="16" thickBot="1">
      <c r="A46" s="1102"/>
      <c r="B46" s="283" t="s">
        <v>500</v>
      </c>
      <c r="C46" s="283"/>
      <c r="D46" s="283"/>
      <c r="E46" s="283"/>
      <c r="F46" s="283"/>
      <c r="G46" s="1135" t="s">
        <v>253</v>
      </c>
      <c r="H46" s="1136"/>
      <c r="I46" s="1137"/>
    </row>
  </sheetData>
  <sheetProtection sheet="1" objects="1" scenarios="1"/>
  <mergeCells count="41">
    <mergeCell ref="G35:I35"/>
    <mergeCell ref="G37:I37"/>
    <mergeCell ref="G38:I38"/>
    <mergeCell ref="G32:I32"/>
    <mergeCell ref="G33:I33"/>
    <mergeCell ref="G34:I34"/>
    <mergeCell ref="G43:I44"/>
    <mergeCell ref="G45:I45"/>
    <mergeCell ref="G46:I46"/>
    <mergeCell ref="G39:I39"/>
    <mergeCell ref="G40:I40"/>
    <mergeCell ref="G41:I41"/>
    <mergeCell ref="B12:B13"/>
    <mergeCell ref="C12:C13"/>
    <mergeCell ref="D12:D13"/>
    <mergeCell ref="E12:E13"/>
    <mergeCell ref="F12:F13"/>
    <mergeCell ref="E16:E17"/>
    <mergeCell ref="F16:F17"/>
    <mergeCell ref="G4:G5"/>
    <mergeCell ref="H4:H5"/>
    <mergeCell ref="I4:I5"/>
    <mergeCell ref="G12:G13"/>
    <mergeCell ref="H12:H13"/>
    <mergeCell ref="I12:I13"/>
    <mergeCell ref="B3:I3"/>
    <mergeCell ref="B31:I31"/>
    <mergeCell ref="B30:I30"/>
    <mergeCell ref="A1:A27"/>
    <mergeCell ref="A30:A46"/>
    <mergeCell ref="B36:I36"/>
    <mergeCell ref="B42:I42"/>
    <mergeCell ref="B1:I2"/>
    <mergeCell ref="B25:I26"/>
    <mergeCell ref="G16:G17"/>
    <mergeCell ref="H16:H17"/>
    <mergeCell ref="I16:I17"/>
    <mergeCell ref="H20:H21"/>
    <mergeCell ref="B16:B17"/>
    <mergeCell ref="C16:C17"/>
    <mergeCell ref="D16:D17"/>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topLeftCell="A24" zoomScale="120" zoomScaleSheetLayoutView="120" workbookViewId="0">
      <selection activeCell="C28" sqref="C28:E28"/>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63" t="s">
        <v>19</v>
      </c>
      <c r="B1" s="1264"/>
      <c r="C1" s="1264"/>
      <c r="D1" s="1264"/>
      <c r="E1" s="1264"/>
      <c r="F1" s="1264"/>
      <c r="G1" s="1264"/>
      <c r="H1" s="1264"/>
      <c r="I1" s="1265"/>
      <c r="J1" s="42"/>
    </row>
    <row r="2" spans="1:22" ht="23" customHeight="1">
      <c r="A2" s="1276" t="s">
        <v>6</v>
      </c>
      <c r="B2" s="1277"/>
      <c r="C2" s="1277"/>
      <c r="D2" s="1277"/>
      <c r="E2" s="1277"/>
      <c r="F2" s="1277"/>
      <c r="G2" s="1277"/>
      <c r="H2" s="1277"/>
      <c r="I2" s="1278"/>
    </row>
    <row r="3" spans="1:22" ht="24" customHeight="1" thickBot="1">
      <c r="A3" s="1292" t="str">
        <f>'Forside 1'!A6:I6</f>
        <v>Gældende fra 1. maj 2022</v>
      </c>
      <c r="B3" s="1293"/>
      <c r="C3" s="1293"/>
      <c r="D3" s="1293"/>
      <c r="E3" s="1293"/>
      <c r="F3" s="1293"/>
      <c r="G3" s="1293"/>
      <c r="H3" s="1293"/>
      <c r="I3" s="1294"/>
      <c r="N3" s="79"/>
      <c r="O3" s="79"/>
      <c r="P3" s="79"/>
      <c r="Q3" s="79"/>
      <c r="R3" s="79"/>
      <c r="S3" s="79"/>
      <c r="T3" s="79"/>
      <c r="U3" s="79"/>
      <c r="V3" s="79"/>
    </row>
    <row r="4" spans="1:22" ht="20" customHeight="1" thickBot="1">
      <c r="A4" s="44"/>
      <c r="B4" s="44"/>
      <c r="C4" s="44"/>
      <c r="D4" s="44"/>
      <c r="E4" s="44"/>
      <c r="F4" s="44"/>
      <c r="G4" s="44"/>
      <c r="H4" s="44"/>
      <c r="I4" s="44"/>
      <c r="N4" s="1291"/>
      <c r="O4" s="1291"/>
      <c r="P4" s="1291"/>
      <c r="Q4" s="1291"/>
      <c r="R4" s="1291"/>
      <c r="S4" s="1291"/>
      <c r="T4" s="1291"/>
      <c r="U4" s="1291"/>
      <c r="V4" s="1291"/>
    </row>
    <row r="5" spans="1:22" ht="20" customHeight="1">
      <c r="A5" s="1171" t="s">
        <v>259</v>
      </c>
      <c r="B5" s="1172"/>
      <c r="C5" s="1172"/>
      <c r="D5" s="1172"/>
      <c r="E5" s="1172"/>
      <c r="F5" s="1172"/>
      <c r="G5" s="1172"/>
      <c r="H5" s="1173"/>
      <c r="I5" s="68"/>
      <c r="N5" s="79"/>
      <c r="O5" s="79"/>
      <c r="P5" s="79"/>
      <c r="Q5" s="79"/>
      <c r="R5" s="79"/>
      <c r="S5" s="79"/>
      <c r="T5" s="79"/>
      <c r="U5" s="79"/>
      <c r="V5" s="79"/>
    </row>
    <row r="6" spans="1:22" ht="20" customHeight="1" thickBot="1">
      <c r="A6" s="1260" t="s">
        <v>437</v>
      </c>
      <c r="B6" s="1261"/>
      <c r="C6" s="1261"/>
      <c r="D6" s="1261"/>
      <c r="E6" s="1261"/>
      <c r="F6" s="1261"/>
      <c r="G6" s="1261"/>
      <c r="H6" s="1262"/>
      <c r="I6" s="68"/>
      <c r="N6" s="79"/>
      <c r="O6" s="79"/>
      <c r="P6" s="79"/>
      <c r="Q6" s="79"/>
      <c r="R6" s="79"/>
      <c r="S6" s="79"/>
      <c r="T6" s="79"/>
      <c r="U6" s="79"/>
      <c r="V6" s="79"/>
    </row>
    <row r="7" spans="1:22" ht="24" customHeight="1" thickBot="1">
      <c r="A7" s="1301" t="s">
        <v>94</v>
      </c>
      <c r="B7" s="1298" t="s">
        <v>0</v>
      </c>
      <c r="C7" s="1150" t="s">
        <v>4</v>
      </c>
      <c r="D7" s="1150"/>
      <c r="E7" s="1198"/>
      <c r="F7" s="1295" t="s">
        <v>5</v>
      </c>
      <c r="G7" s="1296"/>
      <c r="H7" s="1297"/>
      <c r="I7" s="69"/>
      <c r="J7" s="27"/>
    </row>
    <row r="8" spans="1:22" ht="30">
      <c r="A8" s="1302"/>
      <c r="B8" s="1299"/>
      <c r="C8" s="347" t="s">
        <v>131</v>
      </c>
      <c r="D8" s="347" t="s">
        <v>340</v>
      </c>
      <c r="E8" s="347" t="s">
        <v>278</v>
      </c>
      <c r="F8" s="641" t="s">
        <v>131</v>
      </c>
      <c r="G8" s="641" t="s">
        <v>340</v>
      </c>
      <c r="H8" s="641" t="s">
        <v>278</v>
      </c>
      <c r="I8" s="56"/>
    </row>
    <row r="9" spans="1:22" ht="18" customHeight="1" thickBot="1">
      <c r="A9" s="1303"/>
      <c r="B9" s="1300"/>
      <c r="C9" s="348">
        <v>40999</v>
      </c>
      <c r="D9" s="348" t="str">
        <f>'Løntabel gældende fra'!$D$1</f>
        <v>01/04/2022</v>
      </c>
      <c r="E9" s="348" t="str">
        <f>'Løntabel gældende fra'!$D$1</f>
        <v>01/04/2022</v>
      </c>
      <c r="F9" s="349">
        <v>40999</v>
      </c>
      <c r="G9" s="348" t="str">
        <f>'Løntabel gældende fra'!$D$1</f>
        <v>01/04/2022</v>
      </c>
      <c r="H9" s="348" t="str">
        <f>'Løntabel gældende fra'!$D$1</f>
        <v>01/04/2022</v>
      </c>
      <c r="I9" s="67"/>
    </row>
    <row r="10" spans="1:22" ht="15" customHeight="1">
      <c r="A10" s="352" t="s">
        <v>1</v>
      </c>
      <c r="B10" s="353">
        <v>1</v>
      </c>
      <c r="C10" s="146">
        <v>279695</v>
      </c>
      <c r="D10" s="926">
        <f>ROUND(C10+(C10*'Løntabel gældende fra'!$D$7%),2)</f>
        <v>317203.21999999997</v>
      </c>
      <c r="E10" s="913">
        <f>ROUND(D10/12,2)</f>
        <v>26433.599999999999</v>
      </c>
      <c r="F10" s="146">
        <v>271288</v>
      </c>
      <c r="G10" s="147">
        <f>ROUND(F10+(F10*'Løntabel gældende fra'!$D$7%),2)</f>
        <v>307668.81</v>
      </c>
      <c r="H10" s="913">
        <f>ROUND(G10/12,2)</f>
        <v>25639.07</v>
      </c>
      <c r="I10" s="10"/>
    </row>
    <row r="11" spans="1:22" ht="15" customHeight="1">
      <c r="A11" s="354" t="s">
        <v>51</v>
      </c>
      <c r="B11" s="355">
        <v>2</v>
      </c>
      <c r="C11" s="148">
        <v>298044</v>
      </c>
      <c r="D11" s="456">
        <f>ROUND(C11+(C11*'Løntabel gældende fra'!$D$7%),2)</f>
        <v>338012.89</v>
      </c>
      <c r="E11" s="914">
        <f t="shared" ref="E11:E13" si="0">ROUND(D11/12,2)</f>
        <v>28167.74</v>
      </c>
      <c r="F11" s="148">
        <v>284395</v>
      </c>
      <c r="G11" s="917">
        <f>ROUND(F11+(F11*'Løntabel gældende fra'!$D$7%),2)</f>
        <v>322533.51</v>
      </c>
      <c r="H11" s="914">
        <f t="shared" ref="H11:H13" si="1">ROUND(G11/12,2)</f>
        <v>26877.79</v>
      </c>
      <c r="I11" s="10"/>
    </row>
    <row r="12" spans="1:22" ht="15" customHeight="1">
      <c r="A12" s="354" t="s">
        <v>2</v>
      </c>
      <c r="B12" s="355">
        <v>3</v>
      </c>
      <c r="C12" s="148">
        <v>325699</v>
      </c>
      <c r="D12" s="456">
        <f>ROUND(C12+(C12*'Løntabel gældende fra'!$D$7%),2)</f>
        <v>369376.54</v>
      </c>
      <c r="E12" s="914">
        <f t="shared" si="0"/>
        <v>30781.38</v>
      </c>
      <c r="F12" s="148">
        <v>295011</v>
      </c>
      <c r="G12" s="917">
        <f>ROUND(F12+(F12*'Løntabel gældende fra'!$D$7%),2)</f>
        <v>334573.15999999997</v>
      </c>
      <c r="H12" s="914">
        <f t="shared" si="1"/>
        <v>27881.1</v>
      </c>
      <c r="I12" s="10"/>
    </row>
    <row r="13" spans="1:22" ht="15" customHeight="1" thickBot="1">
      <c r="A13" s="356" t="s">
        <v>3</v>
      </c>
      <c r="B13" s="357">
        <v>4</v>
      </c>
      <c r="C13" s="152">
        <v>351388</v>
      </c>
      <c r="D13" s="919">
        <f>ROUND(C13+(C13*'Løntabel gældende fra'!$D$7%),2)</f>
        <v>398510.54</v>
      </c>
      <c r="E13" s="915">
        <f t="shared" si="0"/>
        <v>33209.21</v>
      </c>
      <c r="F13" s="152">
        <v>313754</v>
      </c>
      <c r="G13" s="918">
        <f>ROUND(F13+(F13*'Løntabel gældende fra'!$D$7%),2)</f>
        <v>355829.67</v>
      </c>
      <c r="H13" s="915">
        <f t="shared" si="1"/>
        <v>29652.47</v>
      </c>
      <c r="I13" s="10"/>
    </row>
    <row r="14" spans="1:22" ht="21" customHeight="1" thickBot="1">
      <c r="A14" s="8"/>
      <c r="B14" s="8"/>
      <c r="C14" s="9"/>
      <c r="D14" s="8"/>
      <c r="E14" s="8"/>
      <c r="F14" s="9"/>
      <c r="G14" s="8"/>
      <c r="H14" s="8"/>
      <c r="I14" s="10"/>
    </row>
    <row r="15" spans="1:22" ht="20" customHeight="1">
      <c r="A15" s="1171" t="s">
        <v>402</v>
      </c>
      <c r="B15" s="1172"/>
      <c r="C15" s="1172"/>
      <c r="D15" s="1172"/>
      <c r="E15" s="1172"/>
      <c r="F15" s="1172"/>
      <c r="G15" s="1172"/>
      <c r="H15" s="1173"/>
      <c r="I15" s="68"/>
    </row>
    <row r="16" spans="1:22" ht="20" customHeight="1" thickBot="1">
      <c r="A16" s="1260" t="s">
        <v>438</v>
      </c>
      <c r="B16" s="1261"/>
      <c r="C16" s="1261"/>
      <c r="D16" s="1261"/>
      <c r="E16" s="1261"/>
      <c r="F16" s="1261"/>
      <c r="G16" s="1261"/>
      <c r="H16" s="1262"/>
      <c r="I16" s="68"/>
    </row>
    <row r="17" spans="1:9" ht="23" customHeight="1" thickBot="1">
      <c r="A17" s="1180" t="s">
        <v>11</v>
      </c>
      <c r="B17" s="1181"/>
      <c r="C17" s="1149" t="s">
        <v>4</v>
      </c>
      <c r="D17" s="1150"/>
      <c r="E17" s="1198"/>
      <c r="F17" s="1295" t="s">
        <v>5</v>
      </c>
      <c r="G17" s="1296"/>
      <c r="H17" s="1297"/>
      <c r="I17" s="69"/>
    </row>
    <row r="18" spans="1:9" ht="15">
      <c r="A18" s="1271"/>
      <c r="B18" s="1272"/>
      <c r="C18" s="1178" t="s">
        <v>234</v>
      </c>
      <c r="D18" s="347" t="s">
        <v>98</v>
      </c>
      <c r="E18" s="347" t="s">
        <v>339</v>
      </c>
      <c r="F18" s="1178" t="s">
        <v>234</v>
      </c>
      <c r="G18" s="347" t="s">
        <v>99</v>
      </c>
      <c r="H18" s="641" t="s">
        <v>339</v>
      </c>
      <c r="I18" s="11"/>
    </row>
    <row r="19" spans="1:9" ht="16" thickBot="1">
      <c r="A19" s="1271"/>
      <c r="B19" s="1272"/>
      <c r="C19" s="1196"/>
      <c r="D19" s="350">
        <v>40999</v>
      </c>
      <c r="E19" s="351" t="str">
        <f>'Løntabel gældende fra'!$D$1</f>
        <v>01/04/2022</v>
      </c>
      <c r="F19" s="1196"/>
      <c r="G19" s="350">
        <v>40999</v>
      </c>
      <c r="H19" s="351" t="str">
        <f>'Løntabel gældende fra'!$D$1</f>
        <v>01/04/2022</v>
      </c>
      <c r="I19" s="70"/>
    </row>
    <row r="20" spans="1:9" ht="15" customHeight="1">
      <c r="A20" s="1271"/>
      <c r="B20" s="1273"/>
      <c r="C20" s="154" t="s">
        <v>43</v>
      </c>
      <c r="D20" s="155">
        <v>16.38</v>
      </c>
      <c r="E20" s="149">
        <f>ROUND(D20+(D20*'Løntabel gældende fra'!$D$7%),2)</f>
        <v>18.579999999999998</v>
      </c>
      <c r="F20" s="156" t="s">
        <v>47</v>
      </c>
      <c r="G20" s="157">
        <v>22.4054</v>
      </c>
      <c r="H20" s="149">
        <f>ROUND(G20+(G20*'Løntabel gældende fra'!$D$7%),2)</f>
        <v>25.41</v>
      </c>
      <c r="I20" s="51"/>
    </row>
    <row r="21" spans="1:9" ht="15" customHeight="1">
      <c r="A21" s="1271"/>
      <c r="B21" s="1273"/>
      <c r="C21" s="158" t="s">
        <v>44</v>
      </c>
      <c r="D21" s="150">
        <v>98.3</v>
      </c>
      <c r="E21" s="149">
        <f>ROUND(D21+(D21*'Løntabel gældende fra'!$D$7%),2)</f>
        <v>111.48</v>
      </c>
      <c r="F21" s="159" t="s">
        <v>48</v>
      </c>
      <c r="G21" s="160">
        <v>65.525400000000005</v>
      </c>
      <c r="H21" s="149">
        <f>ROUND(G21+(G21*'Løntabel gældende fra'!$D$7%),2)</f>
        <v>74.31</v>
      </c>
      <c r="I21" s="51"/>
    </row>
    <row r="22" spans="1:9" ht="15" customHeight="1">
      <c r="A22" s="1271"/>
      <c r="B22" s="1273"/>
      <c r="C22" s="158" t="s">
        <v>45</v>
      </c>
      <c r="D22" s="161">
        <v>131.07</v>
      </c>
      <c r="E22" s="149">
        <f>ROUND(D22+(D22*'Løntabel gældende fra'!$D$7%),2)</f>
        <v>148.65</v>
      </c>
      <c r="F22" s="159" t="s">
        <v>49</v>
      </c>
      <c r="G22" s="160">
        <v>131.07</v>
      </c>
      <c r="H22" s="149">
        <f>ROUND(G22+(G22*'Løntabel gældende fra'!$D$7%),2)</f>
        <v>148.65</v>
      </c>
      <c r="I22" s="51"/>
    </row>
    <row r="23" spans="1:9" ht="15" customHeight="1" thickBot="1">
      <c r="A23" s="1274"/>
      <c r="B23" s="1275"/>
      <c r="C23" s="162" t="s">
        <v>46</v>
      </c>
      <c r="D23" s="163">
        <v>163.83000000000001</v>
      </c>
      <c r="E23" s="153">
        <f>ROUND(D23+(D23*'Løntabel gældende fra'!$D$7%),2)</f>
        <v>185.8</v>
      </c>
      <c r="F23" s="164" t="s">
        <v>50</v>
      </c>
      <c r="G23" s="165">
        <v>163.82830000000001</v>
      </c>
      <c r="H23" s="153">
        <f>ROUND(G23+(G23*'Løntabel gældende fra'!$D$7%),2)</f>
        <v>185.8</v>
      </c>
      <c r="I23" s="51"/>
    </row>
    <row r="24" spans="1:9" s="125" customFormat="1" ht="21" customHeight="1" thickBot="1">
      <c r="A24" s="121"/>
      <c r="B24" s="121"/>
      <c r="C24" s="122"/>
      <c r="D24" s="123"/>
      <c r="E24" s="123"/>
      <c r="F24" s="122"/>
      <c r="G24" s="123"/>
      <c r="H24" s="123"/>
      <c r="I24" s="124"/>
    </row>
    <row r="25" spans="1:9" ht="20" customHeight="1">
      <c r="A25" s="1151" t="s">
        <v>244</v>
      </c>
      <c r="B25" s="1289"/>
      <c r="C25" s="1289"/>
      <c r="D25" s="1289"/>
      <c r="E25" s="1289"/>
      <c r="F25" s="1289"/>
      <c r="G25" s="1289"/>
      <c r="H25" s="1289"/>
      <c r="I25" s="1290"/>
    </row>
    <row r="26" spans="1:9" ht="20" customHeight="1" thickBot="1">
      <c r="A26" s="1316" t="str">
        <f>"Indtast det årlige timetal i de gule felter. Arket beregner derefter det månedlige undervisningstillæg pr. "&amp;'Løntabel gældende fra'!D1&amp;""</f>
        <v>Indtast det årlige timetal i de gule felter. Arket beregner derefter det månedlige undervisningstillæg pr. 01/04/2022</v>
      </c>
      <c r="B26" s="1317"/>
      <c r="C26" s="1317"/>
      <c r="D26" s="1317"/>
      <c r="E26" s="1317"/>
      <c r="F26" s="1317"/>
      <c r="G26" s="1317"/>
      <c r="H26" s="1317"/>
      <c r="I26" s="1318"/>
    </row>
    <row r="27" spans="1:9" ht="24" customHeight="1">
      <c r="A27" s="1269"/>
      <c r="B27" s="1270"/>
      <c r="C27" s="1267" t="s">
        <v>4</v>
      </c>
      <c r="D27" s="1267"/>
      <c r="E27" s="1268"/>
      <c r="F27" s="1266" t="s">
        <v>5</v>
      </c>
      <c r="G27" s="1267"/>
      <c r="H27" s="1267"/>
      <c r="I27" s="1268"/>
    </row>
    <row r="28" spans="1:9" ht="20" customHeight="1">
      <c r="A28" s="1281" t="s">
        <v>12</v>
      </c>
      <c r="B28" s="1282"/>
      <c r="C28" s="1283"/>
      <c r="D28" s="1284"/>
      <c r="E28" s="1285"/>
      <c r="F28" s="1283"/>
      <c r="G28" s="1284"/>
      <c r="H28" s="1284"/>
      <c r="I28" s="1285"/>
    </row>
    <row r="29" spans="1:9" ht="32.25" customHeight="1" thickBot="1">
      <c r="A29" s="1279" t="str">
        <f>"Mdr. undervisningstillæg pr. "&amp;'Løntabel gældende fra'!D1&amp;""</f>
        <v>Mdr. undervisningstillæg pr. 01/04/2022</v>
      </c>
      <c r="B29" s="1280"/>
      <c r="C29" s="1286">
        <f>ROUND(IF(C28&lt;650,C28*E20,IF(AND(C28&gt;=650,C28&lt;700),650*E20+(C28-650)*E21,IF(AND(C28&gt;=700,C28&lt;750),650*E20+50*E21+(C28-700)*E22,IF(C28&gt;=750,650*E20+50*E21+50*E22+(C28-750)*E23,))))/12,2)</f>
        <v>0</v>
      </c>
      <c r="D29" s="1287" t="e">
        <f t="shared" ref="D29:H29" si="2">IF(D28&lt;750,D28*F20,IF(AND(D28&gt;=750,D28&lt;800),750*F20+(D28-750)*F21,IF(AND(D28&gt;=800,D28&lt;835),750*F20+50*F21+(D28-800)*F22,IF(D28&gt;=835,750*F20+50*F21+35*F22+(D28-835)*F23,))))</f>
        <v>#VALUE!</v>
      </c>
      <c r="E29" s="1288">
        <f t="shared" si="2"/>
        <v>0</v>
      </c>
      <c r="F29" s="1286">
        <f>IF(F28&lt;750,F28*H20,IF(AND(F28&gt;=750,F28&lt;800),750*H20+(F28-750)*H21,IF(AND(F28&gt;=800,F28&lt;835),750*H20+50*H21+(F28-800)*H22,IF(F28&gt;=835,750*H20+50*H21+35*H22+(F28-835)*H23,))))/12</f>
        <v>0</v>
      </c>
      <c r="G29" s="1287">
        <f t="shared" si="2"/>
        <v>0</v>
      </c>
      <c r="H29" s="1287">
        <f t="shared" si="2"/>
        <v>0</v>
      </c>
      <c r="I29" s="1288" t="e">
        <f>IF(I28&lt;750,I28*#REF!,IF(AND(I28&gt;=750,I28&lt;800),750*#REF!+(I28-750)*#REF!,IF(AND(I28&gt;=800,I28&lt;835),750*#REF!+50*#REF!+(I28-800)*#REF!,IF(I28&gt;=835,750*#REF!+50*#REF!+35*#REF!+(I28-835)*#REF!,))))</f>
        <v>#REF!</v>
      </c>
    </row>
    <row r="30" spans="1:9" ht="10.5" customHeight="1" thickBot="1">
      <c r="A30" s="57"/>
      <c r="B30" s="57"/>
      <c r="C30" s="8"/>
      <c r="D30" s="8"/>
      <c r="E30" s="8"/>
      <c r="F30" s="8"/>
      <c r="G30" s="8"/>
      <c r="H30" s="8"/>
      <c r="I30" s="8"/>
    </row>
    <row r="31" spans="1:9" ht="20" customHeight="1">
      <c r="A31" s="1306" t="s">
        <v>309</v>
      </c>
      <c r="B31" s="1307"/>
      <c r="C31" s="1307"/>
      <c r="D31" s="1307"/>
      <c r="E31" s="1307"/>
      <c r="F31" s="1307"/>
      <c r="G31" s="1307"/>
      <c r="H31" s="1307"/>
      <c r="I31" s="1308"/>
    </row>
    <row r="32" spans="1:9" ht="20" customHeight="1">
      <c r="A32" s="1309" t="s">
        <v>245</v>
      </c>
      <c r="B32" s="1310"/>
      <c r="C32" s="1310"/>
      <c r="D32" s="1310"/>
      <c r="E32" s="1310"/>
      <c r="F32" s="1310"/>
      <c r="G32" s="1310"/>
      <c r="H32" s="1310"/>
      <c r="I32" s="1311"/>
    </row>
    <row r="33" spans="1:9" ht="20" customHeight="1" thickBot="1">
      <c r="A33" s="1320" t="s">
        <v>317</v>
      </c>
      <c r="B33" s="1321"/>
      <c r="C33" s="1321"/>
      <c r="D33" s="1321"/>
      <c r="E33" s="1321"/>
      <c r="F33" s="1321"/>
      <c r="G33" s="1321"/>
      <c r="H33" s="1321"/>
      <c r="I33" s="1322"/>
    </row>
    <row r="34" spans="1:9" ht="24" customHeight="1" thickBot="1">
      <c r="A34" s="1179" t="s">
        <v>102</v>
      </c>
      <c r="B34" s="1304" t="s">
        <v>4</v>
      </c>
      <c r="C34" s="1304"/>
      <c r="D34" s="1304"/>
      <c r="E34" s="1305"/>
      <c r="F34" s="1333" t="s">
        <v>5</v>
      </c>
      <c r="G34" s="1304"/>
      <c r="H34" s="1304"/>
      <c r="I34" s="1305"/>
    </row>
    <row r="35" spans="1:9" ht="24" customHeight="1" thickBot="1">
      <c r="A35" s="1196"/>
      <c r="B35" s="457" t="s">
        <v>7</v>
      </c>
      <c r="C35" s="458" t="s">
        <v>8</v>
      </c>
      <c r="D35" s="457" t="s">
        <v>10</v>
      </c>
      <c r="E35" s="459" t="s">
        <v>9</v>
      </c>
      <c r="F35" s="460" t="s">
        <v>7</v>
      </c>
      <c r="G35" s="461" t="s">
        <v>8</v>
      </c>
      <c r="H35" s="389" t="s">
        <v>10</v>
      </c>
      <c r="I35" s="462" t="s">
        <v>9</v>
      </c>
    </row>
    <row r="36" spans="1:9" ht="15" customHeight="1">
      <c r="A36" s="358">
        <v>1</v>
      </c>
      <c r="B36" s="451">
        <v>325</v>
      </c>
      <c r="C36" s="454">
        <v>575</v>
      </c>
      <c r="D36" s="451">
        <v>900</v>
      </c>
      <c r="E36" s="167">
        <v>1150</v>
      </c>
      <c r="F36" s="456">
        <v>375</v>
      </c>
      <c r="G36" s="171">
        <v>625</v>
      </c>
      <c r="H36" s="373">
        <v>1000</v>
      </c>
      <c r="I36" s="171">
        <v>1250</v>
      </c>
    </row>
    <row r="37" spans="1:9" ht="15" customHeight="1">
      <c r="A37" s="359">
        <v>2</v>
      </c>
      <c r="B37" s="452">
        <v>275</v>
      </c>
      <c r="C37" s="454">
        <v>475</v>
      </c>
      <c r="D37" s="452">
        <v>750</v>
      </c>
      <c r="E37" s="167">
        <v>950</v>
      </c>
      <c r="F37" s="370">
        <v>325</v>
      </c>
      <c r="G37" s="193">
        <v>575</v>
      </c>
      <c r="H37" s="376">
        <v>900</v>
      </c>
      <c r="I37" s="193">
        <v>1150</v>
      </c>
    </row>
    <row r="38" spans="1:9" ht="15" customHeight="1">
      <c r="A38" s="359">
        <v>3</v>
      </c>
      <c r="B38" s="452">
        <v>175</v>
      </c>
      <c r="C38" s="454">
        <v>325</v>
      </c>
      <c r="D38" s="452">
        <v>500</v>
      </c>
      <c r="E38" s="167">
        <v>625</v>
      </c>
      <c r="F38" s="370">
        <v>300</v>
      </c>
      <c r="G38" s="193">
        <v>525</v>
      </c>
      <c r="H38" s="376">
        <v>825</v>
      </c>
      <c r="I38" s="193">
        <v>1050</v>
      </c>
    </row>
    <row r="39" spans="1:9" ht="15" customHeight="1" thickBot="1">
      <c r="A39" s="360">
        <v>4</v>
      </c>
      <c r="B39" s="453">
        <v>175</v>
      </c>
      <c r="C39" s="455">
        <v>325</v>
      </c>
      <c r="D39" s="453">
        <v>500</v>
      </c>
      <c r="E39" s="168">
        <v>625</v>
      </c>
      <c r="F39" s="378">
        <v>300</v>
      </c>
      <c r="G39" s="172">
        <v>525</v>
      </c>
      <c r="H39" s="374">
        <v>825</v>
      </c>
      <c r="I39" s="172">
        <v>1050</v>
      </c>
    </row>
    <row r="40" spans="1:9" ht="24" customHeight="1" thickBot="1">
      <c r="A40" s="58"/>
      <c r="B40" s="58"/>
      <c r="C40" s="8"/>
      <c r="D40" s="8"/>
      <c r="E40" s="8"/>
      <c r="F40" s="8"/>
      <c r="G40" s="8"/>
      <c r="H40" s="8"/>
      <c r="I40" s="8"/>
    </row>
    <row r="41" spans="1:9" ht="20" customHeight="1">
      <c r="A41" s="1151" t="s">
        <v>310</v>
      </c>
      <c r="B41" s="1289"/>
      <c r="C41" s="1289"/>
      <c r="D41" s="1289"/>
      <c r="E41" s="1289"/>
      <c r="F41" s="1289"/>
      <c r="G41" s="1290"/>
      <c r="H41" s="64"/>
      <c r="I41" s="7"/>
    </row>
    <row r="42" spans="1:9" ht="20" customHeight="1" thickBot="1">
      <c r="A42" s="1161" t="s">
        <v>318</v>
      </c>
      <c r="B42" s="1162"/>
      <c r="C42" s="1162"/>
      <c r="D42" s="1162"/>
      <c r="E42" s="1162"/>
      <c r="F42" s="1162"/>
      <c r="G42" s="1163"/>
      <c r="H42" s="64"/>
      <c r="I42" s="7"/>
    </row>
    <row r="43" spans="1:9" ht="13" customHeight="1">
      <c r="A43" s="1178" t="s">
        <v>0</v>
      </c>
      <c r="B43" s="1149" t="s">
        <v>131</v>
      </c>
      <c r="C43" s="1198"/>
      <c r="D43" s="1149" t="s">
        <v>340</v>
      </c>
      <c r="E43" s="1150"/>
      <c r="F43" s="1149" t="s">
        <v>278</v>
      </c>
      <c r="G43" s="1198"/>
      <c r="H43" s="46"/>
      <c r="I43" s="7"/>
    </row>
    <row r="44" spans="1:9" ht="14" customHeight="1" thickBot="1">
      <c r="A44" s="1196"/>
      <c r="B44" s="1213">
        <f>$D$19</f>
        <v>40999</v>
      </c>
      <c r="C44" s="1201"/>
      <c r="D44" s="1213" t="str">
        <f>'Løntabel gældende fra'!$D$1</f>
        <v>01/04/2022</v>
      </c>
      <c r="E44" s="1200"/>
      <c r="F44" s="1213" t="str">
        <f>'Løntabel gældende fra'!$D$1</f>
        <v>01/04/2022</v>
      </c>
      <c r="G44" s="1201"/>
      <c r="H44" s="46"/>
      <c r="I44" s="7"/>
    </row>
    <row r="45" spans="1:9" ht="15" customHeight="1">
      <c r="A45" s="358">
        <v>1</v>
      </c>
      <c r="B45" s="1255">
        <v>5200</v>
      </c>
      <c r="C45" s="1255"/>
      <c r="D45" s="1253">
        <f>ROUND(B45+(B45*'Løntabel gældende fra'!$D$7%),2)</f>
        <v>5897.34</v>
      </c>
      <c r="E45" s="1254"/>
      <c r="F45" s="1194">
        <f>ROUND(D45/12,2)</f>
        <v>491.45</v>
      </c>
      <c r="G45" s="1195"/>
      <c r="H45" s="10"/>
      <c r="I45" s="7"/>
    </row>
    <row r="46" spans="1:9" ht="15" customHeight="1">
      <c r="A46" s="359">
        <v>2</v>
      </c>
      <c r="B46" s="1154">
        <v>7900</v>
      </c>
      <c r="C46" s="1154"/>
      <c r="D46" s="1231">
        <f>ROUND(B46+(B46*'Løntabel gældende fra'!$D$7%),2)</f>
        <v>8959.42</v>
      </c>
      <c r="E46" s="1232"/>
      <c r="F46" s="1155">
        <f>ROUND(D46/12,2)</f>
        <v>746.62</v>
      </c>
      <c r="G46" s="1156"/>
      <c r="H46" s="10"/>
      <c r="I46" s="7"/>
    </row>
    <row r="47" spans="1:9" ht="15" customHeight="1" thickBot="1">
      <c r="A47" s="360">
        <v>3</v>
      </c>
      <c r="B47" s="1319">
        <v>7900</v>
      </c>
      <c r="C47" s="1319"/>
      <c r="D47" s="1226">
        <f>ROUND(B47+(B47*'Løntabel gældende fra'!$D$7%),2)</f>
        <v>8959.42</v>
      </c>
      <c r="E47" s="1227"/>
      <c r="F47" s="1257">
        <f>ROUND(D47/12,2)</f>
        <v>746.62</v>
      </c>
      <c r="G47" s="1258"/>
      <c r="H47" s="10"/>
      <c r="I47" s="7"/>
    </row>
    <row r="48" spans="1:9" s="63" customFormat="1" ht="24" customHeight="1" thickBot="1">
      <c r="A48" s="46"/>
      <c r="B48" s="60"/>
      <c r="C48" s="46"/>
      <c r="D48" s="61"/>
      <c r="E48" s="46"/>
      <c r="F48" s="61"/>
      <c r="G48" s="46"/>
      <c r="H48" s="46"/>
      <c r="I48" s="62"/>
    </row>
    <row r="49" spans="1:17" ht="20" customHeight="1">
      <c r="A49" s="1151" t="s">
        <v>432</v>
      </c>
      <c r="B49" s="1152"/>
      <c r="C49" s="1152"/>
      <c r="D49" s="1152"/>
      <c r="E49" s="1152"/>
      <c r="F49" s="1152"/>
      <c r="G49" s="1153"/>
      <c r="H49" s="65"/>
      <c r="K49" s="16"/>
      <c r="L49" s="16"/>
      <c r="M49" s="16"/>
      <c r="N49" s="16"/>
      <c r="O49" s="16"/>
      <c r="P49" s="16"/>
      <c r="Q49" s="16"/>
    </row>
    <row r="50" spans="1:17" ht="20" customHeight="1" thickBot="1">
      <c r="A50" s="1161" t="s">
        <v>319</v>
      </c>
      <c r="B50" s="1162"/>
      <c r="C50" s="1162"/>
      <c r="D50" s="1162"/>
      <c r="E50" s="1162"/>
      <c r="F50" s="1162"/>
      <c r="G50" s="1163"/>
      <c r="H50" s="65"/>
      <c r="K50" s="16"/>
      <c r="L50" s="16"/>
      <c r="M50" s="16"/>
      <c r="N50" s="16"/>
      <c r="O50" s="16"/>
      <c r="P50" s="16"/>
      <c r="Q50" s="16"/>
    </row>
    <row r="51" spans="1:17" ht="16" customHeight="1">
      <c r="A51" s="1178" t="s">
        <v>0</v>
      </c>
      <c r="B51" s="1157" t="s">
        <v>131</v>
      </c>
      <c r="C51" s="1158"/>
      <c r="D51" s="1157" t="s">
        <v>340</v>
      </c>
      <c r="E51" s="1158"/>
      <c r="F51" s="1157" t="s">
        <v>278</v>
      </c>
      <c r="G51" s="1158"/>
      <c r="H51" s="46"/>
      <c r="K51" s="16"/>
      <c r="L51" s="16"/>
      <c r="M51" s="16"/>
      <c r="N51" s="16"/>
      <c r="O51" s="16"/>
      <c r="P51" s="16"/>
      <c r="Q51" s="16"/>
    </row>
    <row r="52" spans="1:17" ht="16" customHeight="1" thickBot="1">
      <c r="A52" s="1179"/>
      <c r="B52" s="1159">
        <f>C9</f>
        <v>40999</v>
      </c>
      <c r="C52" s="1160"/>
      <c r="D52" s="1228" t="str">
        <f>'Løntabel gældende fra'!D1</f>
        <v>01/04/2022</v>
      </c>
      <c r="E52" s="1160"/>
      <c r="F52" s="1228" t="str">
        <f>'Løntabel gældende fra'!D1</f>
        <v>01/04/2022</v>
      </c>
      <c r="G52" s="1160"/>
      <c r="H52" s="46"/>
      <c r="K52" s="16"/>
      <c r="L52" s="16"/>
      <c r="M52" s="16"/>
      <c r="N52" s="16"/>
      <c r="O52" s="16"/>
      <c r="P52" s="16"/>
      <c r="Q52" s="16"/>
    </row>
    <row r="53" spans="1:17" ht="15" customHeight="1">
      <c r="A53" s="358">
        <v>1</v>
      </c>
      <c r="B53" s="1256">
        <v>2800</v>
      </c>
      <c r="C53" s="1256"/>
      <c r="D53" s="1147">
        <f>ROUND(B53+(B53*'Løntabel gældende fra'!$D$7%),2)</f>
        <v>3175.49</v>
      </c>
      <c r="E53" s="1148"/>
      <c r="F53" s="1253">
        <f>ROUND(D53/12,2)</f>
        <v>264.62</v>
      </c>
      <c r="G53" s="1254"/>
      <c r="H53" s="10"/>
      <c r="K53" s="16"/>
      <c r="L53" s="16"/>
      <c r="M53" s="16"/>
      <c r="N53" s="16"/>
      <c r="O53" s="16"/>
      <c r="P53" s="16"/>
      <c r="Q53" s="16"/>
    </row>
    <row r="54" spans="1:17" ht="15" customHeight="1">
      <c r="A54" s="359">
        <v>2</v>
      </c>
      <c r="B54" s="1154">
        <v>2800</v>
      </c>
      <c r="C54" s="1154"/>
      <c r="D54" s="1155">
        <f>ROUND(B54+(B54*'Løntabel gældende fra'!$D$7%),2)</f>
        <v>3175.49</v>
      </c>
      <c r="E54" s="1156"/>
      <c r="F54" s="1229">
        <f t="shared" ref="F54:F56" si="3">ROUND(D54/12,2)</f>
        <v>264.62</v>
      </c>
      <c r="G54" s="1230"/>
      <c r="H54" s="10"/>
      <c r="K54" s="16"/>
      <c r="L54" s="16"/>
      <c r="M54" s="16"/>
      <c r="N54" s="16"/>
      <c r="O54" s="16"/>
      <c r="P54" s="16"/>
      <c r="Q54" s="16"/>
    </row>
    <row r="55" spans="1:17" ht="15" customHeight="1">
      <c r="A55" s="361">
        <v>3</v>
      </c>
      <c r="B55" s="1154">
        <v>2800</v>
      </c>
      <c r="C55" s="1154"/>
      <c r="D55" s="1155">
        <f>ROUND(B55+(B55*'Løntabel gældende fra'!$D$7%),2)</f>
        <v>3175.49</v>
      </c>
      <c r="E55" s="1156"/>
      <c r="F55" s="1229">
        <f t="shared" si="3"/>
        <v>264.62</v>
      </c>
      <c r="G55" s="1230"/>
      <c r="H55" s="10"/>
      <c r="K55" s="16"/>
      <c r="L55" s="16"/>
      <c r="M55" s="16"/>
      <c r="N55" s="16"/>
      <c r="O55" s="16"/>
      <c r="P55" s="16"/>
      <c r="Q55" s="16"/>
    </row>
    <row r="56" spans="1:17" ht="15" customHeight="1" thickBot="1">
      <c r="A56" s="360">
        <v>4</v>
      </c>
      <c r="B56" s="1319">
        <v>2800</v>
      </c>
      <c r="C56" s="1319"/>
      <c r="D56" s="1257">
        <f>ROUND(B56+(B56*'Løntabel gældende fra'!$D$7%),2)</f>
        <v>3175.49</v>
      </c>
      <c r="E56" s="1258"/>
      <c r="F56" s="1226">
        <f t="shared" si="3"/>
        <v>264.62</v>
      </c>
      <c r="G56" s="1227"/>
      <c r="H56" s="10"/>
      <c r="K56" s="16"/>
      <c r="L56" s="16"/>
      <c r="M56" s="16"/>
      <c r="N56" s="16"/>
      <c r="O56" s="16"/>
      <c r="P56" s="16"/>
      <c r="Q56" s="16"/>
    </row>
    <row r="57" spans="1:17" ht="25" customHeight="1" thickBot="1">
      <c r="A57" s="46"/>
      <c r="B57" s="48"/>
      <c r="C57" s="48"/>
      <c r="D57" s="48"/>
      <c r="E57" s="48"/>
      <c r="F57" s="49"/>
      <c r="G57" s="49"/>
      <c r="H57" s="49"/>
      <c r="K57" s="16"/>
      <c r="L57" s="16"/>
      <c r="M57" s="16"/>
      <c r="N57" s="16"/>
      <c r="O57" s="16"/>
      <c r="P57" s="16"/>
      <c r="Q57" s="16"/>
    </row>
    <row r="58" spans="1:17" ht="20" customHeight="1">
      <c r="A58" s="1151" t="s">
        <v>433</v>
      </c>
      <c r="B58" s="1152"/>
      <c r="C58" s="1152"/>
      <c r="D58" s="1152"/>
      <c r="E58" s="1152"/>
      <c r="F58" s="1152"/>
      <c r="G58" s="1153"/>
      <c r="H58" s="65"/>
      <c r="K58" s="16"/>
      <c r="L58" s="16"/>
      <c r="M58" s="16"/>
      <c r="N58" s="16"/>
      <c r="O58" s="16"/>
      <c r="P58" s="16"/>
      <c r="Q58" s="16"/>
    </row>
    <row r="59" spans="1:17" ht="20" customHeight="1" thickBot="1">
      <c r="A59" s="1161" t="s">
        <v>319</v>
      </c>
      <c r="B59" s="1162"/>
      <c r="C59" s="1162"/>
      <c r="D59" s="1162"/>
      <c r="E59" s="1162"/>
      <c r="F59" s="1162"/>
      <c r="G59" s="1163"/>
      <c r="H59" s="65"/>
      <c r="K59" s="16"/>
      <c r="L59" s="16"/>
      <c r="M59" s="16"/>
      <c r="N59" s="16"/>
      <c r="O59" s="16"/>
      <c r="P59" s="16"/>
      <c r="Q59" s="16"/>
    </row>
    <row r="60" spans="1:17" ht="16" customHeight="1">
      <c r="A60" s="1178" t="s">
        <v>0</v>
      </c>
      <c r="B60" s="1157" t="s">
        <v>131</v>
      </c>
      <c r="C60" s="1158"/>
      <c r="D60" s="1157" t="s">
        <v>340</v>
      </c>
      <c r="E60" s="1158"/>
      <c r="F60" s="1157" t="s">
        <v>278</v>
      </c>
      <c r="G60" s="1158"/>
      <c r="H60" s="781"/>
      <c r="K60" s="16"/>
      <c r="L60" s="16"/>
      <c r="M60" s="16"/>
      <c r="N60" s="16"/>
      <c r="O60" s="16"/>
      <c r="P60" s="16"/>
      <c r="Q60" s="16"/>
    </row>
    <row r="61" spans="1:17" ht="16" customHeight="1" thickBot="1">
      <c r="A61" s="1179"/>
      <c r="B61" s="1159">
        <f>B52</f>
        <v>40999</v>
      </c>
      <c r="C61" s="1160"/>
      <c r="D61" s="1228" t="str">
        <f>'Løntabel gældende fra'!D1</f>
        <v>01/04/2022</v>
      </c>
      <c r="E61" s="1348"/>
      <c r="F61" s="1228" t="str">
        <f>'Løntabel gældende fra'!D1</f>
        <v>01/04/2022</v>
      </c>
      <c r="G61" s="1348"/>
      <c r="H61" s="781"/>
      <c r="K61" s="16"/>
      <c r="L61" s="16"/>
      <c r="M61" s="16"/>
      <c r="N61" s="16"/>
      <c r="O61" s="16"/>
      <c r="P61" s="16"/>
      <c r="Q61" s="16"/>
    </row>
    <row r="62" spans="1:17" ht="15" customHeight="1">
      <c r="A62" s="358">
        <v>1</v>
      </c>
      <c r="B62" s="1256">
        <v>900</v>
      </c>
      <c r="C62" s="1256"/>
      <c r="D62" s="1147">
        <f>ROUND(B62+(B62*'Løntabel gældende fra'!$D$7%),2)</f>
        <v>1020.69</v>
      </c>
      <c r="E62" s="1148"/>
      <c r="F62" s="1256">
        <f>ROUND(D62/12,2)</f>
        <v>85.06</v>
      </c>
      <c r="G62" s="1254"/>
      <c r="H62" s="10"/>
      <c r="K62" s="16"/>
      <c r="L62" s="16"/>
      <c r="M62" s="16"/>
      <c r="N62" s="16"/>
      <c r="O62" s="16"/>
      <c r="P62" s="16"/>
      <c r="Q62" s="16"/>
    </row>
    <row r="63" spans="1:17" ht="15" customHeight="1">
      <c r="A63" s="359">
        <v>2</v>
      </c>
      <c r="B63" s="1154">
        <v>900</v>
      </c>
      <c r="C63" s="1154"/>
      <c r="D63" s="1155">
        <f>ROUND(B63+(B63*'Løntabel gældende fra'!$D$7%),2)</f>
        <v>1020.69</v>
      </c>
      <c r="E63" s="1156"/>
      <c r="F63" s="1255">
        <f>ROUND(D63/12,2)</f>
        <v>85.06</v>
      </c>
      <c r="G63" s="1232"/>
      <c r="H63" s="10"/>
      <c r="K63" s="16"/>
      <c r="L63" s="16"/>
      <c r="M63" s="16"/>
      <c r="N63" s="16"/>
      <c r="O63" s="16"/>
      <c r="P63" s="16"/>
      <c r="Q63" s="16"/>
    </row>
    <row r="64" spans="1:17" ht="15" customHeight="1">
      <c r="A64" s="361">
        <v>3</v>
      </c>
      <c r="B64" s="1154">
        <v>900</v>
      </c>
      <c r="C64" s="1154"/>
      <c r="D64" s="1155">
        <f>ROUND(B64+(B64*'Løntabel gældende fra'!$D$7%),2)</f>
        <v>1020.69</v>
      </c>
      <c r="E64" s="1156"/>
      <c r="F64" s="1255">
        <f>ROUND(D64/12,2)</f>
        <v>85.06</v>
      </c>
      <c r="G64" s="1232"/>
      <c r="H64" s="10"/>
      <c r="K64" s="16"/>
      <c r="L64" s="16"/>
      <c r="M64" s="16"/>
      <c r="N64" s="16"/>
      <c r="O64" s="16"/>
      <c r="P64" s="16"/>
      <c r="Q64" s="16"/>
    </row>
    <row r="65" spans="1:17" ht="15" customHeight="1" thickBot="1">
      <c r="A65" s="360">
        <v>4</v>
      </c>
      <c r="B65" s="1319">
        <v>900</v>
      </c>
      <c r="C65" s="1319"/>
      <c r="D65" s="1257">
        <f>ROUND(B65+(B65*'Løntabel gældende fra'!$D$7%),2)</f>
        <v>1020.69</v>
      </c>
      <c r="E65" s="1258"/>
      <c r="F65" s="1319">
        <f>ROUND(D65/12,2)</f>
        <v>85.06</v>
      </c>
      <c r="G65" s="1227"/>
      <c r="H65" s="10"/>
      <c r="K65" s="16"/>
      <c r="L65" s="16"/>
      <c r="M65" s="16"/>
      <c r="N65" s="16"/>
      <c r="O65" s="16"/>
      <c r="P65" s="16"/>
      <c r="Q65" s="16"/>
    </row>
    <row r="66" spans="1:17" ht="25" customHeight="1" thickBot="1">
      <c r="A66" s="781"/>
      <c r="B66" s="48"/>
      <c r="C66" s="48"/>
      <c r="D66" s="48"/>
      <c r="E66" s="48"/>
      <c r="F66" s="49"/>
      <c r="G66" s="49"/>
      <c r="H66" s="49"/>
      <c r="K66" s="16"/>
      <c r="L66" s="16"/>
      <c r="M66" s="16"/>
      <c r="N66" s="16"/>
      <c r="O66" s="16"/>
      <c r="P66" s="16"/>
      <c r="Q66" s="16"/>
    </row>
    <row r="67" spans="1:17" ht="20" customHeight="1">
      <c r="A67" s="1171" t="s">
        <v>311</v>
      </c>
      <c r="B67" s="1172"/>
      <c r="C67" s="1172"/>
      <c r="D67" s="1172"/>
      <c r="E67" s="1172"/>
      <c r="F67" s="1172"/>
      <c r="G67" s="1172"/>
      <c r="H67" s="1172"/>
      <c r="I67" s="1173"/>
    </row>
    <row r="68" spans="1:17" ht="20" customHeight="1" thickBot="1">
      <c r="A68" s="1260" t="s">
        <v>320</v>
      </c>
      <c r="B68" s="1261"/>
      <c r="C68" s="1261"/>
      <c r="D68" s="1261"/>
      <c r="E68" s="1261"/>
      <c r="F68" s="1261"/>
      <c r="G68" s="1261"/>
      <c r="H68" s="1261"/>
      <c r="I68" s="1262"/>
    </row>
    <row r="69" spans="1:17" ht="28" customHeight="1">
      <c r="A69" s="1247" t="s">
        <v>297</v>
      </c>
      <c r="B69" s="1248"/>
      <c r="C69" s="1248"/>
      <c r="D69" s="1248"/>
      <c r="E69" s="1248"/>
      <c r="F69" s="1249"/>
      <c r="G69" s="341" t="s">
        <v>131</v>
      </c>
      <c r="H69" s="341" t="s">
        <v>101</v>
      </c>
      <c r="I69" s="642" t="s">
        <v>278</v>
      </c>
    </row>
    <row r="70" spans="1:17" ht="15" customHeight="1" thickBot="1">
      <c r="A70" s="1247"/>
      <c r="B70" s="1248"/>
      <c r="C70" s="1248"/>
      <c r="D70" s="1248"/>
      <c r="E70" s="1248"/>
      <c r="F70" s="1249"/>
      <c r="G70" s="342">
        <f>C9</f>
        <v>40999</v>
      </c>
      <c r="H70" s="342">
        <f>C9</f>
        <v>40999</v>
      </c>
      <c r="I70" s="342" t="str">
        <f>'Løntabel gældende fra'!$D$1</f>
        <v>01/04/2022</v>
      </c>
    </row>
    <row r="71" spans="1:17" ht="15" customHeight="1" thickBot="1">
      <c r="A71" s="1250"/>
      <c r="B71" s="1251"/>
      <c r="C71" s="1251"/>
      <c r="D71" s="1251"/>
      <c r="E71" s="1251"/>
      <c r="F71" s="1252"/>
      <c r="G71" s="169">
        <v>19300</v>
      </c>
      <c r="H71" s="169">
        <f>ROUND(G71/12,2)</f>
        <v>1608.33</v>
      </c>
      <c r="I71" s="170">
        <f>ROUND(H71+(H71*'Løntabel gældende fra'!$D$7%),2)</f>
        <v>1824.01</v>
      </c>
    </row>
    <row r="72" spans="1:17" ht="24" customHeight="1" thickBot="1">
      <c r="A72" s="7"/>
      <c r="B72" s="7"/>
      <c r="C72" s="7" t="s">
        <v>16</v>
      </c>
      <c r="D72" s="7"/>
      <c r="E72" s="7"/>
      <c r="F72" s="7"/>
      <c r="G72" s="7"/>
      <c r="H72" s="7"/>
      <c r="I72" s="7"/>
    </row>
    <row r="73" spans="1:17" ht="20" customHeight="1">
      <c r="A73" s="1171" t="s">
        <v>313</v>
      </c>
      <c r="B73" s="1172"/>
      <c r="C73" s="1172"/>
      <c r="D73" s="1172"/>
      <c r="E73" s="1172"/>
      <c r="F73" s="1172"/>
      <c r="G73" s="1172"/>
      <c r="H73" s="1172"/>
      <c r="I73" s="1173"/>
    </row>
    <row r="74" spans="1:17" ht="20" customHeight="1" thickBot="1">
      <c r="A74" s="1260" t="s">
        <v>312</v>
      </c>
      <c r="B74" s="1261"/>
      <c r="C74" s="1261"/>
      <c r="D74" s="1261"/>
      <c r="E74" s="1261"/>
      <c r="F74" s="1261"/>
      <c r="G74" s="1261"/>
      <c r="H74" s="1261"/>
      <c r="I74" s="1262"/>
    </row>
    <row r="75" spans="1:17" ht="28" customHeight="1">
      <c r="A75" s="1220" t="s">
        <v>447</v>
      </c>
      <c r="B75" s="1221"/>
      <c r="C75" s="1221"/>
      <c r="D75" s="1221"/>
      <c r="E75" s="1221"/>
      <c r="F75" s="1221"/>
      <c r="G75" s="1222"/>
      <c r="H75" s="434" t="s">
        <v>341</v>
      </c>
      <c r="I75" s="641" t="s">
        <v>342</v>
      </c>
    </row>
    <row r="76" spans="1:17" ht="34" customHeight="1" thickBot="1">
      <c r="A76" s="1223"/>
      <c r="B76" s="1224"/>
      <c r="C76" s="1224"/>
      <c r="D76" s="1224"/>
      <c r="E76" s="1224"/>
      <c r="F76" s="1224"/>
      <c r="G76" s="1225"/>
      <c r="H76" s="342">
        <f>C9</f>
        <v>40999</v>
      </c>
      <c r="I76" s="342" t="str">
        <f>'Løntabel gældende fra'!$D$1</f>
        <v>01/04/2022</v>
      </c>
    </row>
    <row r="77" spans="1:17" ht="15" customHeight="1" thickBot="1">
      <c r="A77" s="1335" t="s">
        <v>14</v>
      </c>
      <c r="B77" s="1336"/>
      <c r="C77" s="1336"/>
      <c r="D77" s="1336"/>
      <c r="E77" s="1336"/>
      <c r="F77" s="1336"/>
      <c r="G77" s="1336"/>
      <c r="H77" s="173">
        <v>19</v>
      </c>
      <c r="I77" s="174">
        <f>ROUND(H77+H77*'Løntabel gældende fra'!$D$7%,2)</f>
        <v>21.55</v>
      </c>
    </row>
    <row r="78" spans="1:17" ht="24" customHeight="1" thickBot="1">
      <c r="A78" s="7"/>
      <c r="B78" s="7"/>
      <c r="C78" s="7"/>
      <c r="D78" s="7"/>
      <c r="E78" s="7"/>
      <c r="F78" s="7"/>
      <c r="G78" s="7"/>
      <c r="H78" s="7"/>
      <c r="I78" s="7"/>
    </row>
    <row r="79" spans="1:17" ht="20" customHeight="1">
      <c r="A79" s="1171" t="s">
        <v>314</v>
      </c>
      <c r="B79" s="1172"/>
      <c r="C79" s="1172"/>
      <c r="D79" s="1172"/>
      <c r="E79" s="1172"/>
      <c r="F79" s="1172"/>
      <c r="G79" s="1172"/>
      <c r="H79" s="1172"/>
      <c r="I79" s="1173"/>
    </row>
    <row r="80" spans="1:17" ht="20" customHeight="1" thickBot="1">
      <c r="A80" s="1260" t="s">
        <v>312</v>
      </c>
      <c r="B80" s="1261"/>
      <c r="C80" s="1261"/>
      <c r="D80" s="1261"/>
      <c r="E80" s="1261"/>
      <c r="F80" s="1261"/>
      <c r="G80" s="1261"/>
      <c r="H80" s="1261"/>
      <c r="I80" s="1262"/>
    </row>
    <row r="81" spans="1:22" ht="13" customHeight="1">
      <c r="A81" s="1323" t="s">
        <v>439</v>
      </c>
      <c r="B81" s="1324"/>
      <c r="C81" s="1324"/>
      <c r="D81" s="1324"/>
      <c r="E81" s="1324"/>
      <c r="F81" s="1324"/>
      <c r="G81" s="1325"/>
      <c r="H81" s="343" t="s">
        <v>98</v>
      </c>
      <c r="I81" s="344" t="s">
        <v>103</v>
      </c>
    </row>
    <row r="82" spans="1:22" ht="15" customHeight="1" thickBot="1">
      <c r="A82" s="1326"/>
      <c r="B82" s="1327"/>
      <c r="C82" s="1327"/>
      <c r="D82" s="1327"/>
      <c r="E82" s="1327"/>
      <c r="F82" s="1327"/>
      <c r="G82" s="1328"/>
      <c r="H82" s="345">
        <f>C9</f>
        <v>40999</v>
      </c>
      <c r="I82" s="342" t="str">
        <f>'Løntabel gældende fra'!$D$1</f>
        <v>01/04/2022</v>
      </c>
    </row>
    <row r="83" spans="1:22" ht="15" customHeight="1">
      <c r="A83" s="1329" t="s">
        <v>18</v>
      </c>
      <c r="B83" s="1330"/>
      <c r="C83" s="1330"/>
      <c r="D83" s="1330"/>
      <c r="E83" s="1330"/>
      <c r="F83" s="1330"/>
      <c r="G83" s="1330"/>
      <c r="H83" s="211">
        <v>6.59</v>
      </c>
      <c r="I83" s="212">
        <f>ROUND(H83+H83*'Løntabel gældende fra'!$D$7%,2)</f>
        <v>7.47</v>
      </c>
    </row>
    <row r="84" spans="1:22" ht="15" customHeight="1" thickBot="1">
      <c r="A84" s="1331" t="s">
        <v>17</v>
      </c>
      <c r="B84" s="1332"/>
      <c r="C84" s="1332"/>
      <c r="D84" s="1332"/>
      <c r="E84" s="1332"/>
      <c r="F84" s="1332"/>
      <c r="G84" s="1332"/>
      <c r="H84" s="191">
        <v>61.22</v>
      </c>
      <c r="I84" s="213">
        <f>ROUND(H84+H84*'Løntabel gældende fra'!$D$7%,2)</f>
        <v>69.430000000000007</v>
      </c>
    </row>
    <row r="85" spans="1:22" ht="37" customHeight="1" thickBot="1">
      <c r="A85" s="1168" t="s">
        <v>349</v>
      </c>
      <c r="B85" s="1169"/>
      <c r="C85" s="1169"/>
      <c r="D85" s="1169"/>
      <c r="E85" s="1169"/>
      <c r="F85" s="1169"/>
      <c r="G85" s="1169"/>
      <c r="H85" s="1169"/>
      <c r="I85" s="1170"/>
      <c r="K85" s="16"/>
      <c r="L85" s="16"/>
      <c r="M85" s="16"/>
      <c r="N85" s="16"/>
      <c r="O85" s="16"/>
      <c r="P85" s="16"/>
      <c r="Q85" s="16"/>
    </row>
    <row r="86" spans="1:22" ht="27.75" customHeight="1" thickBot="1">
      <c r="A86" s="1168" t="s">
        <v>350</v>
      </c>
      <c r="B86" s="1169"/>
      <c r="C86" s="1169"/>
      <c r="D86" s="1169"/>
      <c r="E86" s="1169"/>
      <c r="F86" s="1169"/>
      <c r="G86" s="1169"/>
      <c r="H86" s="1169"/>
      <c r="I86" s="1170"/>
      <c r="K86" s="16"/>
      <c r="L86" s="16"/>
      <c r="M86" s="16"/>
      <c r="N86" s="16"/>
      <c r="O86" s="16"/>
      <c r="P86" s="16"/>
      <c r="Q86" s="16"/>
    </row>
    <row r="87" spans="1:22" ht="16.5" customHeight="1" thickBot="1">
      <c r="A87" s="75"/>
      <c r="B87" s="75"/>
      <c r="C87" s="75"/>
      <c r="D87" s="75"/>
      <c r="E87" s="75"/>
      <c r="F87" s="75"/>
      <c r="G87" s="75"/>
      <c r="H87" s="75"/>
      <c r="I87" s="75"/>
      <c r="K87" s="16"/>
      <c r="L87" s="16"/>
      <c r="M87" s="16"/>
      <c r="N87" s="16"/>
      <c r="O87" s="16"/>
      <c r="P87" s="16"/>
      <c r="Q87" s="16"/>
    </row>
    <row r="88" spans="1:22" customFormat="1" ht="24" customHeight="1" thickBot="1">
      <c r="A88" s="1184" t="s">
        <v>69</v>
      </c>
      <c r="B88" s="1185"/>
      <c r="C88" s="1185"/>
      <c r="D88" s="1185"/>
      <c r="E88" s="1185"/>
      <c r="F88" s="1185"/>
      <c r="G88" s="1243"/>
      <c r="H88" s="64"/>
    </row>
    <row r="89" spans="1:22" customFormat="1" ht="24" customHeight="1" thickBot="1">
      <c r="A89" s="1214" t="s">
        <v>70</v>
      </c>
      <c r="B89" s="1215"/>
      <c r="C89" s="1216"/>
      <c r="D89" s="1313">
        <v>40999</v>
      </c>
      <c r="E89" s="1259"/>
      <c r="F89" s="1259" t="str">
        <f>'Løntabel gældende fra'!$D$1</f>
        <v>01/04/2022</v>
      </c>
      <c r="G89" s="1203"/>
      <c r="H89" s="66"/>
    </row>
    <row r="90" spans="1:22" s="569" customFormat="1" ht="24" customHeight="1" thickBot="1">
      <c r="A90" s="1217"/>
      <c r="B90" s="1218"/>
      <c r="C90" s="1219"/>
      <c r="D90" s="1188" t="s">
        <v>315</v>
      </c>
      <c r="E90" s="1189"/>
      <c r="F90" s="1188" t="s">
        <v>315</v>
      </c>
      <c r="G90" s="1189"/>
      <c r="H90" s="570"/>
      <c r="I90" s="570"/>
      <c r="J90" s="570"/>
      <c r="K90" s="570"/>
      <c r="L90" s="570"/>
      <c r="M90" s="570"/>
      <c r="N90" s="570"/>
      <c r="O90" s="570"/>
      <c r="P90" s="570"/>
      <c r="Q90" s="570"/>
      <c r="R90" s="570"/>
      <c r="S90" s="570"/>
      <c r="T90" s="570"/>
      <c r="U90" s="570"/>
      <c r="V90" s="570"/>
    </row>
    <row r="91" spans="1:22" customFormat="1" ht="15" customHeight="1">
      <c r="A91" s="175" t="s">
        <v>71</v>
      </c>
      <c r="B91" s="176"/>
      <c r="C91" s="177"/>
      <c r="D91" s="178">
        <v>236</v>
      </c>
      <c r="E91" s="178">
        <v>334</v>
      </c>
      <c r="F91" s="571">
        <f>ROUND(D91+D91*'Løntabel gældende fra'!$D$7%,2)</f>
        <v>267.64999999999998</v>
      </c>
      <c r="G91" s="572">
        <f>ROUND(E91+E91*'Løntabel gældende fra'!$D$7%,2)</f>
        <v>378.79</v>
      </c>
      <c r="H91" s="59"/>
    </row>
    <row r="92" spans="1:22" customFormat="1" ht="15" customHeight="1" thickBot="1">
      <c r="A92" s="130" t="s">
        <v>73</v>
      </c>
      <c r="B92" s="131"/>
      <c r="C92" s="179"/>
      <c r="D92" s="180">
        <v>170</v>
      </c>
      <c r="E92" s="180">
        <v>269</v>
      </c>
      <c r="F92" s="181">
        <f>ROUND(D92+D92*'Løntabel gældende fra'!$D$7%,2)</f>
        <v>192.8</v>
      </c>
      <c r="G92" s="182">
        <f>ROUND(E92+E92*'Løntabel gældende fra'!$D$7%,2)</f>
        <v>305.07</v>
      </c>
      <c r="H92" s="59"/>
    </row>
    <row r="93" spans="1:22" customFormat="1" ht="24" customHeight="1" thickBot="1">
      <c r="A93" s="1149" t="s">
        <v>72</v>
      </c>
      <c r="B93" s="1150"/>
      <c r="C93" s="1198"/>
      <c r="D93" s="1204">
        <f>D89</f>
        <v>40999</v>
      </c>
      <c r="E93" s="1205"/>
      <c r="F93" s="1202" t="str">
        <f>'Løntabel gældende fra'!$D$1</f>
        <v>01/04/2022</v>
      </c>
      <c r="G93" s="1203"/>
      <c r="H93" s="66"/>
    </row>
    <row r="94" spans="1:22" s="569" customFormat="1" ht="24" customHeight="1" thickBot="1">
      <c r="A94" s="1199"/>
      <c r="B94" s="1200"/>
      <c r="C94" s="1201"/>
      <c r="D94" s="1188" t="s">
        <v>315</v>
      </c>
      <c r="E94" s="1189"/>
      <c r="F94" s="1188" t="s">
        <v>315</v>
      </c>
      <c r="G94" s="1189"/>
      <c r="H94" s="570"/>
      <c r="I94" s="570"/>
      <c r="J94" s="570"/>
      <c r="K94" s="570"/>
      <c r="L94" s="570"/>
      <c r="M94" s="570"/>
      <c r="N94" s="570"/>
      <c r="O94" s="570"/>
      <c r="P94" s="570"/>
      <c r="Q94" s="570"/>
      <c r="R94" s="570"/>
      <c r="S94" s="570"/>
      <c r="T94" s="570"/>
      <c r="U94" s="570"/>
      <c r="V94" s="570"/>
    </row>
    <row r="95" spans="1:22" customFormat="1" ht="15" customHeight="1">
      <c r="A95" s="175" t="s">
        <v>71</v>
      </c>
      <c r="B95" s="176"/>
      <c r="C95" s="177"/>
      <c r="D95" s="178">
        <v>203</v>
      </c>
      <c r="E95" s="178">
        <v>334</v>
      </c>
      <c r="F95" s="183">
        <f>ROUND(D95+D95*'Løntabel gældende fra'!$D$7%,2)</f>
        <v>230.22</v>
      </c>
      <c r="G95" s="184">
        <f>ROUND(E95+E95*'Løntabel gældende fra'!$D$7%,2)</f>
        <v>378.79</v>
      </c>
      <c r="H95" s="59"/>
    </row>
    <row r="96" spans="1:22" customFormat="1" ht="15" customHeight="1" thickBot="1">
      <c r="A96" s="562" t="s">
        <v>73</v>
      </c>
      <c r="B96" s="563"/>
      <c r="C96" s="564"/>
      <c r="D96" s="185">
        <v>138</v>
      </c>
      <c r="E96" s="185">
        <v>269</v>
      </c>
      <c r="F96" s="186">
        <f>ROUND(D96+D96*'Løntabel gældende fra'!$D$7%,2)</f>
        <v>156.51</v>
      </c>
      <c r="G96" s="187">
        <f>ROUND(E96+E96*'Løntabel gældende fra'!$D$7%,2)</f>
        <v>305.07</v>
      </c>
      <c r="H96" s="59"/>
    </row>
    <row r="97" spans="1:15" ht="24" customHeight="1" thickBot="1">
      <c r="A97" s="7"/>
      <c r="B97" s="7"/>
      <c r="C97" s="7"/>
      <c r="D97" s="7"/>
      <c r="E97" s="7"/>
      <c r="F97" s="7"/>
      <c r="G97" s="7"/>
      <c r="H97" s="7"/>
      <c r="I97" s="7"/>
    </row>
    <row r="98" spans="1:15" customFormat="1" ht="24" customHeight="1" thickBot="1">
      <c r="A98" s="1184" t="s">
        <v>60</v>
      </c>
      <c r="B98" s="1185"/>
      <c r="C98" s="1185"/>
      <c r="D98" s="1185"/>
      <c r="E98" s="1185"/>
      <c r="F98" s="1185"/>
      <c r="G98" s="1243"/>
    </row>
    <row r="99" spans="1:15" customFormat="1" ht="16" thickBot="1">
      <c r="A99" s="188"/>
      <c r="B99" s="189"/>
      <c r="C99" s="190"/>
      <c r="D99" s="1236">
        <v>40999</v>
      </c>
      <c r="E99" s="1237"/>
      <c r="F99" s="1176" t="str">
        <f>'Løntabel gældende fra'!$D$1</f>
        <v>01/04/2022</v>
      </c>
      <c r="G99" s="1177"/>
    </row>
    <row r="100" spans="1:15" customFormat="1" ht="16" thickBot="1">
      <c r="A100" s="1314" t="s">
        <v>61</v>
      </c>
      <c r="B100" s="1315"/>
      <c r="C100" s="1315"/>
      <c r="D100" s="1186">
        <v>43.25</v>
      </c>
      <c r="E100" s="1187"/>
      <c r="F100" s="1211">
        <f>ROUND(D100+D100*'Løntabel gældende fra'!$D$7%,2)</f>
        <v>49.05</v>
      </c>
      <c r="G100" s="1212"/>
    </row>
    <row r="101" spans="1:15" customFormat="1" ht="42" customHeight="1">
      <c r="A101" s="1208" t="s">
        <v>225</v>
      </c>
      <c r="B101" s="1209"/>
      <c r="C101" s="1210"/>
      <c r="D101" s="1186">
        <v>9.17</v>
      </c>
      <c r="E101" s="1187"/>
      <c r="F101" s="1211">
        <f>ROUND(D101+D101*'Løntabel gældende fra'!$D$7%,2)</f>
        <v>10.4</v>
      </c>
      <c r="G101" s="1212"/>
    </row>
    <row r="102" spans="1:15" customFormat="1" ht="16" thickBot="1">
      <c r="A102" s="71" t="s">
        <v>62</v>
      </c>
      <c r="B102" s="72"/>
      <c r="C102" s="72"/>
      <c r="D102" s="1238">
        <v>4587.3100000000004</v>
      </c>
      <c r="E102" s="1239"/>
      <c r="F102" s="1174">
        <f>ROUND(D102+D102*'Løntabel gældende fra'!$D$7%,2)</f>
        <v>5202.49</v>
      </c>
      <c r="G102" s="1175"/>
    </row>
    <row r="103" spans="1:15" customFormat="1" ht="15">
      <c r="A103" s="82"/>
      <c r="B103" s="82"/>
      <c r="C103" s="82"/>
      <c r="D103" s="61"/>
      <c r="E103" s="102"/>
      <c r="F103" s="59"/>
      <c r="G103" s="59"/>
    </row>
    <row r="104" spans="1:15" ht="12" customHeight="1" thickBot="1">
      <c r="A104" s="103"/>
      <c r="B104" s="104"/>
      <c r="C104" s="104"/>
      <c r="D104" s="104"/>
      <c r="E104" s="104"/>
      <c r="F104" s="59"/>
      <c r="G104" s="59"/>
      <c r="H104" s="7"/>
      <c r="I104" s="7"/>
    </row>
    <row r="105" spans="1:15" ht="20.25" customHeight="1">
      <c r="A105" s="1240" t="s">
        <v>90</v>
      </c>
      <c r="B105" s="1241"/>
      <c r="C105" s="1241"/>
      <c r="D105" s="1241"/>
      <c r="E105" s="1241"/>
      <c r="F105" s="1241"/>
      <c r="G105" s="1241"/>
      <c r="H105" s="1241"/>
      <c r="I105" s="1242"/>
    </row>
    <row r="106" spans="1:15" ht="21" thickBot="1">
      <c r="A106" s="1244" t="str">
        <f>'Løntabel gældende fra'!$D$1</f>
        <v>01/04/2022</v>
      </c>
      <c r="B106" s="1245"/>
      <c r="C106" s="1245"/>
      <c r="D106" s="1245"/>
      <c r="E106" s="1245"/>
      <c r="F106" s="1245"/>
      <c r="G106" s="1245"/>
      <c r="H106" s="1245"/>
      <c r="I106" s="1246"/>
    </row>
    <row r="107" spans="1:15" ht="18" customHeight="1" thickBot="1">
      <c r="A107" s="1184" t="s">
        <v>88</v>
      </c>
      <c r="B107" s="1185"/>
      <c r="C107" s="1185"/>
      <c r="D107" s="1185"/>
      <c r="E107" s="1185"/>
      <c r="F107" s="1172"/>
      <c r="G107" s="1172"/>
      <c r="H107" s="1172"/>
      <c r="I107" s="1173"/>
    </row>
    <row r="108" spans="1:15" ht="16" customHeight="1">
      <c r="A108" s="1167" t="s">
        <v>0</v>
      </c>
      <c r="B108" s="1149" t="s">
        <v>20</v>
      </c>
      <c r="C108" s="1150"/>
      <c r="D108" s="1150"/>
      <c r="E108" s="1150"/>
      <c r="F108" s="1182" t="s">
        <v>421</v>
      </c>
      <c r="G108" s="1183"/>
      <c r="H108" s="1206">
        <v>0.17299999999999999</v>
      </c>
      <c r="I108" s="1207"/>
      <c r="J108" s="3"/>
      <c r="K108" s="3"/>
      <c r="L108" s="3"/>
      <c r="M108" s="4"/>
      <c r="N108" s="4"/>
      <c r="O108" s="4"/>
    </row>
    <row r="109" spans="1:15" ht="16" customHeight="1" thickBot="1">
      <c r="A109" s="1167"/>
      <c r="B109" s="1199"/>
      <c r="C109" s="1200"/>
      <c r="D109" s="1200"/>
      <c r="E109" s="1200"/>
      <c r="F109" s="1233" t="s">
        <v>430</v>
      </c>
      <c r="G109" s="1234"/>
      <c r="H109" s="1234"/>
      <c r="I109" s="1235"/>
      <c r="J109" s="3"/>
      <c r="K109" s="3"/>
      <c r="L109" s="3"/>
      <c r="M109" s="4"/>
      <c r="N109" s="4"/>
      <c r="O109" s="4"/>
    </row>
    <row r="110" spans="1:15">
      <c r="A110" s="166">
        <v>1</v>
      </c>
      <c r="B110" s="1253">
        <f>H10</f>
        <v>25639.07</v>
      </c>
      <c r="C110" s="1256"/>
      <c r="D110" s="1256"/>
      <c r="E110" s="1254"/>
      <c r="F110" s="1253">
        <f>ROUND(B110*$H$108,2)</f>
        <v>4435.5600000000004</v>
      </c>
      <c r="G110" s="1256"/>
      <c r="H110" s="1256"/>
      <c r="I110" s="1254"/>
    </row>
    <row r="111" spans="1:15">
      <c r="A111" s="99">
        <v>2</v>
      </c>
      <c r="B111" s="1229">
        <f>H11</f>
        <v>26877.79</v>
      </c>
      <c r="C111" s="1154"/>
      <c r="D111" s="1154"/>
      <c r="E111" s="1230"/>
      <c r="F111" s="1229">
        <f>ROUND(B111*$H$108,2)</f>
        <v>4649.8599999999997</v>
      </c>
      <c r="G111" s="1154"/>
      <c r="H111" s="1154"/>
      <c r="I111" s="1230"/>
    </row>
    <row r="112" spans="1:15">
      <c r="A112" s="99">
        <v>3</v>
      </c>
      <c r="B112" s="1229">
        <f>H12</f>
        <v>27881.1</v>
      </c>
      <c r="C112" s="1154"/>
      <c r="D112" s="1154"/>
      <c r="E112" s="1230"/>
      <c r="F112" s="1229">
        <f>ROUND(B112*$H$108,2)</f>
        <v>4823.43</v>
      </c>
      <c r="G112" s="1154"/>
      <c r="H112" s="1154"/>
      <c r="I112" s="1230"/>
    </row>
    <row r="113" spans="1:10" ht="15" customHeight="1" thickBot="1">
      <c r="A113" s="100">
        <v>4</v>
      </c>
      <c r="B113" s="1226">
        <f>H13</f>
        <v>29652.47</v>
      </c>
      <c r="C113" s="1319"/>
      <c r="D113" s="1319"/>
      <c r="E113" s="1227"/>
      <c r="F113" s="1226">
        <f>ROUND(B113*$H$108,2)</f>
        <v>5129.88</v>
      </c>
      <c r="G113" s="1319"/>
      <c r="H113" s="1319"/>
      <c r="I113" s="1227"/>
    </row>
    <row r="114" spans="1:10" ht="18" customHeight="1" thickBot="1">
      <c r="A114" s="1171" t="s">
        <v>89</v>
      </c>
      <c r="B114" s="1172"/>
      <c r="C114" s="1172"/>
      <c r="D114" s="1172"/>
      <c r="E114" s="1172"/>
      <c r="F114" s="1172"/>
      <c r="G114" s="1172"/>
      <c r="H114" s="1172"/>
      <c r="I114" s="1173"/>
    </row>
    <row r="115" spans="1:10" ht="23" customHeight="1">
      <c r="A115" s="1166" t="s">
        <v>0</v>
      </c>
      <c r="B115" s="1178" t="s">
        <v>136</v>
      </c>
      <c r="C115" s="1149" t="s">
        <v>23</v>
      </c>
      <c r="D115" s="1150"/>
      <c r="E115" s="1150"/>
      <c r="F115" s="1149" t="s">
        <v>24</v>
      </c>
      <c r="G115" s="1150"/>
      <c r="H115" s="1180" t="s">
        <v>93</v>
      </c>
      <c r="I115" s="1181"/>
    </row>
    <row r="116" spans="1:10" ht="22.5" customHeight="1" thickBot="1">
      <c r="A116" s="1167"/>
      <c r="B116" s="1179"/>
      <c r="C116" s="1164">
        <f>B52</f>
        <v>40999</v>
      </c>
      <c r="D116" s="1165"/>
      <c r="E116" s="1165"/>
      <c r="F116" s="1164" t="str">
        <f>'Løntabel gældende fra'!$D$1</f>
        <v>01/04/2022</v>
      </c>
      <c r="G116" s="1165"/>
      <c r="H116" s="1271"/>
      <c r="I116" s="1273"/>
    </row>
    <row r="117" spans="1:10" ht="15" customHeight="1" thickBot="1">
      <c r="A117" s="1167"/>
      <c r="B117" s="1179"/>
      <c r="C117" s="1180" t="s">
        <v>86</v>
      </c>
      <c r="D117" s="1181"/>
      <c r="E117" s="695" t="s">
        <v>87</v>
      </c>
      <c r="F117" s="695" t="s">
        <v>86</v>
      </c>
      <c r="G117" s="697" t="s">
        <v>87</v>
      </c>
      <c r="H117" s="1343">
        <v>0.15</v>
      </c>
      <c r="I117" s="1344"/>
    </row>
    <row r="118" spans="1:10">
      <c r="A118" s="145">
        <v>1</v>
      </c>
      <c r="B118" s="383">
        <v>21</v>
      </c>
      <c r="C118" s="1147">
        <f>+'Statens skalatrin'!N66</f>
        <v>241583.32</v>
      </c>
      <c r="D118" s="1148"/>
      <c r="E118" s="171">
        <f>ROUND(C118/12,2)</f>
        <v>20131.939999999999</v>
      </c>
      <c r="F118" s="222">
        <f>ROUND(C118*(1+'Løntabel gældende fra'!$D$7/100),0)</f>
        <v>273981</v>
      </c>
      <c r="G118" s="171">
        <f>ROUND(F118/12,2)</f>
        <v>22831.75</v>
      </c>
      <c r="H118" s="1194">
        <f>ROUND(G118*$H$117,2)</f>
        <v>3424.76</v>
      </c>
      <c r="I118" s="1195"/>
      <c r="J118" s="50"/>
    </row>
    <row r="119" spans="1:10">
      <c r="A119" s="699">
        <v>1</v>
      </c>
      <c r="B119" s="700">
        <v>23</v>
      </c>
      <c r="C119" s="1155">
        <f>+'Statens skalatrin'!N72</f>
        <v>250472.55</v>
      </c>
      <c r="D119" s="1156"/>
      <c r="E119" s="193">
        <f t="shared" ref="E119:E131" si="4">ROUND(C119/12,2)</f>
        <v>20872.71</v>
      </c>
      <c r="F119" s="223">
        <f>ROUND(C119*(1+'Løntabel gældende fra'!$D$7/100),0)</f>
        <v>284062</v>
      </c>
      <c r="G119" s="193">
        <f t="shared" ref="G119:G129" si="5">ROUND(F119/12,2)</f>
        <v>23671.83</v>
      </c>
      <c r="H119" s="1194">
        <f t="shared" ref="H119:H131" si="6">ROUND(G119*$H$117,2)</f>
        <v>3550.77</v>
      </c>
      <c r="I119" s="1195"/>
    </row>
    <row r="120" spans="1:10">
      <c r="A120" s="699">
        <v>2</v>
      </c>
      <c r="B120" s="700">
        <v>25</v>
      </c>
      <c r="C120" s="1155">
        <f>+'Statens skalatrin'!N78</f>
        <v>259721.7</v>
      </c>
      <c r="D120" s="1156"/>
      <c r="E120" s="193">
        <f t="shared" si="4"/>
        <v>21643.48</v>
      </c>
      <c r="F120" s="223">
        <f>ROUND(C120*(1+'Løntabel gældende fra'!$D$7/100),0)</f>
        <v>294551</v>
      </c>
      <c r="G120" s="193">
        <f t="shared" si="5"/>
        <v>24545.919999999998</v>
      </c>
      <c r="H120" s="1194">
        <f t="shared" si="6"/>
        <v>3681.89</v>
      </c>
      <c r="I120" s="1195"/>
    </row>
    <row r="121" spans="1:10">
      <c r="A121" s="699">
        <v>2</v>
      </c>
      <c r="B121" s="700">
        <v>27</v>
      </c>
      <c r="C121" s="1155">
        <f>+'Statens skalatrin'!N84</f>
        <v>269459.90000000002</v>
      </c>
      <c r="D121" s="1156"/>
      <c r="E121" s="193">
        <f t="shared" si="4"/>
        <v>22454.99</v>
      </c>
      <c r="F121" s="223">
        <f>ROUND(C121*(1+'Løntabel gældende fra'!$D$7/100),0)</f>
        <v>305596</v>
      </c>
      <c r="G121" s="193">
        <f t="shared" si="5"/>
        <v>25466.33</v>
      </c>
      <c r="H121" s="1194">
        <f t="shared" si="6"/>
        <v>3819.95</v>
      </c>
      <c r="I121" s="1195"/>
    </row>
    <row r="122" spans="1:10">
      <c r="A122" s="699">
        <v>3</v>
      </c>
      <c r="B122" s="700">
        <v>28</v>
      </c>
      <c r="C122" s="1155">
        <f>+'Statens skalatrin'!N87</f>
        <v>274522.23</v>
      </c>
      <c r="D122" s="1156"/>
      <c r="E122" s="193">
        <f t="shared" si="4"/>
        <v>22876.85</v>
      </c>
      <c r="F122" s="223">
        <f>ROUND(C122*(1+'Løntabel gældende fra'!$D$7/100),0)</f>
        <v>311337</v>
      </c>
      <c r="G122" s="193">
        <f t="shared" si="5"/>
        <v>25944.75</v>
      </c>
      <c r="H122" s="1194">
        <f t="shared" si="6"/>
        <v>3891.71</v>
      </c>
      <c r="I122" s="1195"/>
    </row>
    <row r="123" spans="1:10">
      <c r="A123" s="699">
        <v>3</v>
      </c>
      <c r="B123" s="700">
        <v>29</v>
      </c>
      <c r="C123" s="1155">
        <f>+'Statens skalatrin'!N90</f>
        <v>279714.99</v>
      </c>
      <c r="D123" s="1156"/>
      <c r="E123" s="193">
        <f t="shared" si="4"/>
        <v>23309.58</v>
      </c>
      <c r="F123" s="223">
        <f>ROUND(C123*(1+'Løntabel gældende fra'!$D$7/100),0)</f>
        <v>317226</v>
      </c>
      <c r="G123" s="193">
        <f t="shared" si="5"/>
        <v>26435.5</v>
      </c>
      <c r="H123" s="1194">
        <f t="shared" si="6"/>
        <v>3965.33</v>
      </c>
      <c r="I123" s="1195"/>
    </row>
    <row r="124" spans="1:10">
      <c r="A124" s="699">
        <v>3</v>
      </c>
      <c r="B124" s="700">
        <v>30</v>
      </c>
      <c r="C124" s="1155">
        <f>+'Statens skalatrin'!N93</f>
        <v>285044.74</v>
      </c>
      <c r="D124" s="1156"/>
      <c r="E124" s="193">
        <f t="shared" si="4"/>
        <v>23753.73</v>
      </c>
      <c r="F124" s="223">
        <f>ROUND(C124*(1+'Løntabel gældende fra'!$D$7/100),0)</f>
        <v>323270</v>
      </c>
      <c r="G124" s="193">
        <f t="shared" si="5"/>
        <v>26939.17</v>
      </c>
      <c r="H124" s="1194">
        <f t="shared" si="6"/>
        <v>4040.88</v>
      </c>
      <c r="I124" s="1195"/>
    </row>
    <row r="125" spans="1:10">
      <c r="A125" s="699">
        <v>3</v>
      </c>
      <c r="B125" s="700">
        <v>31</v>
      </c>
      <c r="C125" s="1155">
        <f>+'Statens skalatrin'!N96</f>
        <v>290512.64000000001</v>
      </c>
      <c r="D125" s="1156"/>
      <c r="E125" s="193">
        <f t="shared" si="4"/>
        <v>24209.39</v>
      </c>
      <c r="F125" s="223">
        <f>ROUND(C125*(1+'Løntabel gældende fra'!$D$7/100),0)</f>
        <v>329472</v>
      </c>
      <c r="G125" s="193">
        <f t="shared" si="5"/>
        <v>27456</v>
      </c>
      <c r="H125" s="1194">
        <f t="shared" si="6"/>
        <v>4118.3999999999996</v>
      </c>
      <c r="I125" s="1195"/>
    </row>
    <row r="126" spans="1:10">
      <c r="A126" s="699">
        <v>28</v>
      </c>
      <c r="B126" s="700">
        <v>28</v>
      </c>
      <c r="C126" s="1155">
        <f>+C122</f>
        <v>274522.23</v>
      </c>
      <c r="D126" s="1156"/>
      <c r="E126" s="193">
        <f t="shared" si="4"/>
        <v>22876.85</v>
      </c>
      <c r="F126" s="223">
        <f>ROUND(C126*(1+'Løntabel gældende fra'!$D$7/100),0)</f>
        <v>311337</v>
      </c>
      <c r="G126" s="193">
        <f t="shared" si="5"/>
        <v>25944.75</v>
      </c>
      <c r="H126" s="1194">
        <f t="shared" si="6"/>
        <v>3891.71</v>
      </c>
      <c r="I126" s="1195"/>
    </row>
    <row r="127" spans="1:10">
      <c r="A127" s="699">
        <v>29</v>
      </c>
      <c r="B127" s="700">
        <v>29</v>
      </c>
      <c r="C127" s="1155">
        <f>+C123</f>
        <v>279714.99</v>
      </c>
      <c r="D127" s="1156"/>
      <c r="E127" s="193">
        <f t="shared" si="4"/>
        <v>23309.58</v>
      </c>
      <c r="F127" s="223">
        <f>ROUND(C127*(1+'Løntabel gældende fra'!$D$7/100),0)</f>
        <v>317226</v>
      </c>
      <c r="G127" s="193">
        <f t="shared" si="5"/>
        <v>26435.5</v>
      </c>
      <c r="H127" s="1194">
        <f t="shared" si="6"/>
        <v>3965.33</v>
      </c>
      <c r="I127" s="1195"/>
    </row>
    <row r="128" spans="1:10">
      <c r="A128" s="699">
        <v>30</v>
      </c>
      <c r="B128" s="700">
        <v>30</v>
      </c>
      <c r="C128" s="1155">
        <f>+C124</f>
        <v>285044.74</v>
      </c>
      <c r="D128" s="1156"/>
      <c r="E128" s="193">
        <f t="shared" si="4"/>
        <v>23753.73</v>
      </c>
      <c r="F128" s="223">
        <f>ROUND(C128*(1+'Løntabel gældende fra'!$D$7/100),0)</f>
        <v>323270</v>
      </c>
      <c r="G128" s="193">
        <f t="shared" si="5"/>
        <v>26939.17</v>
      </c>
      <c r="H128" s="1194">
        <f t="shared" si="6"/>
        <v>4040.88</v>
      </c>
      <c r="I128" s="1195"/>
    </row>
    <row r="129" spans="1:9">
      <c r="A129" s="699">
        <v>31</v>
      </c>
      <c r="B129" s="700">
        <v>31</v>
      </c>
      <c r="C129" s="1155">
        <f>+C125</f>
        <v>290512.64000000001</v>
      </c>
      <c r="D129" s="1156"/>
      <c r="E129" s="193">
        <f t="shared" si="4"/>
        <v>24209.39</v>
      </c>
      <c r="F129" s="223">
        <f>ROUND(C129*(1+'Løntabel gældende fra'!$D$7/100),0)</f>
        <v>329472</v>
      </c>
      <c r="G129" s="193">
        <f t="shared" si="5"/>
        <v>27456</v>
      </c>
      <c r="H129" s="1194">
        <f t="shared" si="6"/>
        <v>4118.3999999999996</v>
      </c>
      <c r="I129" s="1195"/>
    </row>
    <row r="130" spans="1:9">
      <c r="A130" s="699">
        <v>32</v>
      </c>
      <c r="B130" s="700">
        <v>32</v>
      </c>
      <c r="C130" s="1155">
        <f>+'Statens skalatrin'!N99</f>
        <v>296125.21000000002</v>
      </c>
      <c r="D130" s="1156"/>
      <c r="E130" s="193">
        <f t="shared" si="4"/>
        <v>24677.1</v>
      </c>
      <c r="F130" s="223">
        <f>ROUND(C130*(1+'Løntabel gældende fra'!$D$7/100),0)</f>
        <v>335837</v>
      </c>
      <c r="G130" s="193">
        <f>ROUND(F130/12,2)</f>
        <v>27986.42</v>
      </c>
      <c r="H130" s="1194">
        <f t="shared" si="6"/>
        <v>4197.96</v>
      </c>
      <c r="I130" s="1195"/>
    </row>
    <row r="131" spans="1:9" ht="15" customHeight="1" thickBot="1">
      <c r="A131" s="151">
        <v>33</v>
      </c>
      <c r="B131" s="384">
        <v>33</v>
      </c>
      <c r="C131" s="1257">
        <f>+'Statens skalatrin'!N102</f>
        <v>301881.8</v>
      </c>
      <c r="D131" s="1258"/>
      <c r="E131" s="172">
        <f t="shared" si="4"/>
        <v>25156.82</v>
      </c>
      <c r="F131" s="224">
        <f>ROUND(C131*(1+'Løntabel gældende fra'!$D$7/100),0)</f>
        <v>342365</v>
      </c>
      <c r="G131" s="172">
        <f>ROUND(F131/12,2)</f>
        <v>28530.42</v>
      </c>
      <c r="H131" s="1194">
        <f t="shared" si="6"/>
        <v>4279.5600000000004</v>
      </c>
      <c r="I131" s="1195"/>
    </row>
    <row r="132" spans="1:9" ht="20" customHeight="1">
      <c r="A132" s="1240" t="s">
        <v>91</v>
      </c>
      <c r="B132" s="1241"/>
      <c r="C132" s="1241"/>
      <c r="D132" s="1241"/>
      <c r="E132" s="1241"/>
      <c r="F132" s="1241"/>
      <c r="G132" s="1241"/>
      <c r="H132" s="1241"/>
      <c r="I132" s="1242"/>
    </row>
    <row r="133" spans="1:9" ht="17.25" customHeight="1">
      <c r="A133" s="1345" t="str">
        <f>'Løntabel gældende fra'!$D$1</f>
        <v>01/04/2022</v>
      </c>
      <c r="B133" s="1346"/>
      <c r="C133" s="1346"/>
      <c r="D133" s="1346"/>
      <c r="E133" s="1346"/>
      <c r="F133" s="1346"/>
      <c r="G133" s="1346"/>
      <c r="H133" s="1346"/>
      <c r="I133" s="1347"/>
    </row>
    <row r="134" spans="1:9" ht="14.25" customHeight="1" thickBot="1">
      <c r="A134" s="1190" t="s">
        <v>88</v>
      </c>
      <c r="B134" s="1191"/>
      <c r="C134" s="1191"/>
      <c r="D134" s="1191"/>
      <c r="E134" s="1191"/>
      <c r="F134" s="1192"/>
      <c r="G134" s="1192"/>
      <c r="H134" s="1192"/>
      <c r="I134" s="1193"/>
    </row>
    <row r="135" spans="1:9">
      <c r="A135" s="1167" t="s">
        <v>0</v>
      </c>
      <c r="B135" s="1149" t="s">
        <v>20</v>
      </c>
      <c r="C135" s="1150"/>
      <c r="D135" s="1150"/>
      <c r="E135" s="1150"/>
      <c r="F135" s="1337" t="s">
        <v>93</v>
      </c>
      <c r="G135" s="1338"/>
      <c r="H135" s="768">
        <v>0.17299999999999999</v>
      </c>
      <c r="I135" s="769"/>
    </row>
    <row r="136" spans="1:9" ht="15" thickBot="1">
      <c r="A136" s="1197"/>
      <c r="B136" s="1199"/>
      <c r="C136" s="1200"/>
      <c r="D136" s="1200"/>
      <c r="E136" s="1200"/>
      <c r="F136" s="1199" t="s">
        <v>430</v>
      </c>
      <c r="G136" s="1200"/>
      <c r="H136" s="1200"/>
      <c r="I136" s="1201"/>
    </row>
    <row r="137" spans="1:9">
      <c r="A137" s="166">
        <v>1</v>
      </c>
      <c r="B137" s="1253">
        <f>E10</f>
        <v>26433.599999999999</v>
      </c>
      <c r="C137" s="1256"/>
      <c r="D137" s="1256"/>
      <c r="E137" s="1256"/>
      <c r="F137" s="1253">
        <f>ROUND(B137*$H$135,2)</f>
        <v>4573.01</v>
      </c>
      <c r="G137" s="1256"/>
      <c r="H137" s="1256"/>
      <c r="I137" s="1254"/>
    </row>
    <row r="138" spans="1:9">
      <c r="A138" s="99">
        <v>2</v>
      </c>
      <c r="B138" s="1229">
        <f>E11</f>
        <v>28167.74</v>
      </c>
      <c r="C138" s="1154"/>
      <c r="D138" s="1154"/>
      <c r="E138" s="1154"/>
      <c r="F138" s="1229">
        <f t="shared" ref="F138:F140" si="7">ROUND(B138*$H$135,2)</f>
        <v>4873.0200000000004</v>
      </c>
      <c r="G138" s="1154"/>
      <c r="H138" s="1154"/>
      <c r="I138" s="1230"/>
    </row>
    <row r="139" spans="1:9">
      <c r="A139" s="99">
        <v>3</v>
      </c>
      <c r="B139" s="1229">
        <f>E12</f>
        <v>30781.38</v>
      </c>
      <c r="C139" s="1154"/>
      <c r="D139" s="1154"/>
      <c r="E139" s="1154"/>
      <c r="F139" s="1229">
        <f t="shared" si="7"/>
        <v>5325.18</v>
      </c>
      <c r="G139" s="1154"/>
      <c r="H139" s="1154"/>
      <c r="I139" s="1230"/>
    </row>
    <row r="140" spans="1:9" ht="15" thickBot="1">
      <c r="A140" s="100">
        <v>4</v>
      </c>
      <c r="B140" s="1226">
        <f>E13</f>
        <v>33209.21</v>
      </c>
      <c r="C140" s="1319"/>
      <c r="D140" s="1319"/>
      <c r="E140" s="1319"/>
      <c r="F140" s="1226">
        <f t="shared" si="7"/>
        <v>5745.19</v>
      </c>
      <c r="G140" s="1319"/>
      <c r="H140" s="1319"/>
      <c r="I140" s="1227"/>
    </row>
    <row r="141" spans="1:9" ht="19" thickBot="1">
      <c r="A141" s="1184" t="s">
        <v>89</v>
      </c>
      <c r="B141" s="1185"/>
      <c r="C141" s="1185"/>
      <c r="D141" s="1185"/>
      <c r="E141" s="1185"/>
      <c r="F141" s="1185"/>
      <c r="G141" s="1185"/>
      <c r="H141" s="1185"/>
      <c r="I141" s="430"/>
    </row>
    <row r="142" spans="1:9">
      <c r="A142" s="1179" t="s">
        <v>104</v>
      </c>
      <c r="B142" s="1179" t="s">
        <v>136</v>
      </c>
      <c r="C142" s="1304" t="s">
        <v>23</v>
      </c>
      <c r="D142" s="1304"/>
      <c r="E142" s="1304"/>
      <c r="F142" s="1333" t="s">
        <v>24</v>
      </c>
      <c r="G142" s="1304"/>
      <c r="H142" s="1180" t="s">
        <v>93</v>
      </c>
      <c r="I142" s="1181"/>
    </row>
    <row r="143" spans="1:9" ht="15" customHeight="1" thickBot="1">
      <c r="A143" s="1179"/>
      <c r="B143" s="1179"/>
      <c r="C143" s="1165">
        <v>40999</v>
      </c>
      <c r="D143" s="1165"/>
      <c r="E143" s="1165"/>
      <c r="F143" s="1164" t="str">
        <f>'Løntabel gældende fra'!$D$1</f>
        <v>01/04/2022</v>
      </c>
      <c r="G143" s="1165"/>
      <c r="H143" s="1271"/>
      <c r="I143" s="1273"/>
    </row>
    <row r="144" spans="1:9" ht="16" thickBot="1">
      <c r="A144" s="1196"/>
      <c r="B144" s="1179"/>
      <c r="C144" s="1334" t="s">
        <v>86</v>
      </c>
      <c r="D144" s="1181"/>
      <c r="E144" s="695" t="s">
        <v>87</v>
      </c>
      <c r="F144" s="696" t="s">
        <v>86</v>
      </c>
      <c r="G144" s="697" t="s">
        <v>87</v>
      </c>
      <c r="H144" s="1339">
        <v>0.15</v>
      </c>
      <c r="I144" s="1340"/>
    </row>
    <row r="145" spans="1:10" ht="19" customHeight="1">
      <c r="A145" s="145">
        <v>1</v>
      </c>
      <c r="B145" s="383">
        <v>24</v>
      </c>
      <c r="C145" s="1147">
        <f>+'Statens skalatrin'!N75</f>
        <v>255037.97</v>
      </c>
      <c r="D145" s="1148"/>
      <c r="E145" s="171">
        <f>ROUND(C145/12,2)</f>
        <v>21253.16</v>
      </c>
      <c r="F145" s="222">
        <f>ROUND(C145*(1+'Løntabel gældende fra'!$D$7/100),0)</f>
        <v>289240</v>
      </c>
      <c r="G145" s="171">
        <f>ROUND(F145/12,2)</f>
        <v>24103.33</v>
      </c>
      <c r="H145" s="1194">
        <f>ROUND(G145*$H$144,2)</f>
        <v>3615.5</v>
      </c>
      <c r="I145" s="1195"/>
    </row>
    <row r="146" spans="1:10" ht="14" customHeight="1">
      <c r="A146" s="699">
        <v>1</v>
      </c>
      <c r="B146" s="700">
        <v>25</v>
      </c>
      <c r="C146" s="1155">
        <f>+'Statens skalatrin'!N78</f>
        <v>259721.7</v>
      </c>
      <c r="D146" s="1156"/>
      <c r="E146" s="193">
        <f t="shared" ref="E146:E159" si="8">ROUND(C146/12,2)</f>
        <v>21643.48</v>
      </c>
      <c r="F146" s="223">
        <f>ROUND(C146*(1+'Løntabel gældende fra'!$D$7/100),0)</f>
        <v>294551</v>
      </c>
      <c r="G146" s="193">
        <f t="shared" ref="G146:G159" si="9">ROUND(F146/12,2)</f>
        <v>24545.919999999998</v>
      </c>
      <c r="H146" s="1194">
        <f t="shared" ref="H146:H159" si="10">ROUND(G146*$H$144,2)</f>
        <v>3681.89</v>
      </c>
      <c r="I146" s="1195"/>
      <c r="J146" s="51"/>
    </row>
    <row r="147" spans="1:10">
      <c r="A147" s="699">
        <v>2</v>
      </c>
      <c r="B147" s="700">
        <v>27</v>
      </c>
      <c r="C147" s="1155">
        <f>+'Statens skalatrin'!N84</f>
        <v>269459.90000000002</v>
      </c>
      <c r="D147" s="1156"/>
      <c r="E147" s="193">
        <f t="shared" si="8"/>
        <v>22454.99</v>
      </c>
      <c r="F147" s="223">
        <f>ROUND(C147*(1+'Løntabel gældende fra'!$D$7/100),0)</f>
        <v>305596</v>
      </c>
      <c r="G147" s="193">
        <f t="shared" si="9"/>
        <v>25466.33</v>
      </c>
      <c r="H147" s="1194">
        <f t="shared" si="10"/>
        <v>3819.95</v>
      </c>
      <c r="I147" s="1195"/>
    </row>
    <row r="148" spans="1:10">
      <c r="A148" s="699">
        <v>2</v>
      </c>
      <c r="B148" s="700">
        <v>29</v>
      </c>
      <c r="C148" s="1155">
        <f>+'Statens skalatrin'!N90</f>
        <v>279714.99</v>
      </c>
      <c r="D148" s="1156"/>
      <c r="E148" s="193">
        <f t="shared" si="8"/>
        <v>23309.58</v>
      </c>
      <c r="F148" s="223">
        <f>ROUND(C148*(1+'Løntabel gældende fra'!$D$7/100),0)</f>
        <v>317226</v>
      </c>
      <c r="G148" s="193">
        <f t="shared" si="9"/>
        <v>26435.5</v>
      </c>
      <c r="H148" s="1194">
        <f t="shared" si="10"/>
        <v>3965.33</v>
      </c>
      <c r="I148" s="1195"/>
    </row>
    <row r="149" spans="1:10">
      <c r="A149" s="699">
        <v>3</v>
      </c>
      <c r="B149" s="700">
        <v>31</v>
      </c>
      <c r="C149" s="1155">
        <f>+'Statens skalatrin'!N96</f>
        <v>290512.64000000001</v>
      </c>
      <c r="D149" s="1156"/>
      <c r="E149" s="193">
        <f t="shared" si="8"/>
        <v>24209.39</v>
      </c>
      <c r="F149" s="223">
        <f>ROUND(C149*(1+'Løntabel gældende fra'!$D$7/100),0)</f>
        <v>329472</v>
      </c>
      <c r="G149" s="193">
        <f t="shared" si="9"/>
        <v>27456</v>
      </c>
      <c r="H149" s="1194">
        <f t="shared" si="10"/>
        <v>4118.3999999999996</v>
      </c>
      <c r="I149" s="1195"/>
    </row>
    <row r="150" spans="1:10">
      <c r="A150" s="699">
        <v>3</v>
      </c>
      <c r="B150" s="700">
        <v>33</v>
      </c>
      <c r="C150" s="1155">
        <f>+'Statens skalatrin'!N102</f>
        <v>301881.8</v>
      </c>
      <c r="D150" s="1156"/>
      <c r="E150" s="193">
        <f t="shared" si="8"/>
        <v>25156.82</v>
      </c>
      <c r="F150" s="223">
        <f>ROUND(C150*(1+'Løntabel gældende fra'!$D$7/100),0)</f>
        <v>342365</v>
      </c>
      <c r="G150" s="193">
        <f t="shared" si="9"/>
        <v>28530.42</v>
      </c>
      <c r="H150" s="1194">
        <f t="shared" si="10"/>
        <v>4279.5600000000004</v>
      </c>
      <c r="I150" s="1195"/>
    </row>
    <row r="151" spans="1:10">
      <c r="A151" s="699">
        <v>3</v>
      </c>
      <c r="B151" s="700">
        <v>35</v>
      </c>
      <c r="C151" s="1155">
        <f>+'Statens skalatrin'!N108</f>
        <v>313854.56</v>
      </c>
      <c r="D151" s="1156"/>
      <c r="E151" s="193">
        <f t="shared" si="8"/>
        <v>26154.55</v>
      </c>
      <c r="F151" s="223">
        <f>ROUND(C151*(1+'Løntabel gældende fra'!$D$7/100),0)</f>
        <v>355944</v>
      </c>
      <c r="G151" s="193">
        <f t="shared" si="9"/>
        <v>29662</v>
      </c>
      <c r="H151" s="1194">
        <f t="shared" si="10"/>
        <v>4449.3</v>
      </c>
      <c r="I151" s="1195"/>
    </row>
    <row r="152" spans="1:10">
      <c r="A152" s="699">
        <v>3</v>
      </c>
      <c r="B152" s="700">
        <v>37</v>
      </c>
      <c r="C152" s="1155">
        <f>+'Statens skalatrin'!N114</f>
        <v>326457.34000000003</v>
      </c>
      <c r="D152" s="1156"/>
      <c r="E152" s="193">
        <f t="shared" si="8"/>
        <v>27204.78</v>
      </c>
      <c r="F152" s="223">
        <f>ROUND(C152*(1+'Løntabel gældende fra'!$D$7/100),0)</f>
        <v>370237</v>
      </c>
      <c r="G152" s="193">
        <f t="shared" si="9"/>
        <v>30853.08</v>
      </c>
      <c r="H152" s="1194">
        <f t="shared" si="10"/>
        <v>4627.96</v>
      </c>
      <c r="I152" s="1195"/>
    </row>
    <row r="153" spans="1:10">
      <c r="A153" s="699">
        <v>3</v>
      </c>
      <c r="B153" s="700">
        <v>40</v>
      </c>
      <c r="C153" s="1155">
        <f>+'Statens skalatrin'!N123</f>
        <v>347027.46</v>
      </c>
      <c r="D153" s="1156"/>
      <c r="E153" s="193">
        <f t="shared" si="8"/>
        <v>28918.959999999999</v>
      </c>
      <c r="F153" s="223">
        <f>ROUND(C153*(1+'Løntabel gældende fra'!$D$7/100),0)</f>
        <v>393565</v>
      </c>
      <c r="G153" s="193">
        <f t="shared" si="9"/>
        <v>32797.08</v>
      </c>
      <c r="H153" s="1194">
        <f t="shared" si="10"/>
        <v>4919.5600000000004</v>
      </c>
      <c r="I153" s="1195"/>
    </row>
    <row r="154" spans="1:10">
      <c r="A154" s="699">
        <v>35</v>
      </c>
      <c r="B154" s="700">
        <v>35</v>
      </c>
      <c r="C154" s="1155">
        <f>+C151</f>
        <v>313854.56</v>
      </c>
      <c r="D154" s="1156"/>
      <c r="E154" s="193">
        <f t="shared" si="8"/>
        <v>26154.55</v>
      </c>
      <c r="F154" s="223">
        <f>ROUND(C154*(1+'Løntabel gældende fra'!$D$7/100),0)</f>
        <v>355944</v>
      </c>
      <c r="G154" s="193">
        <f t="shared" si="9"/>
        <v>29662</v>
      </c>
      <c r="H154" s="1194">
        <f t="shared" si="10"/>
        <v>4449.3</v>
      </c>
      <c r="I154" s="1195"/>
    </row>
    <row r="155" spans="1:10">
      <c r="A155" s="699">
        <v>36</v>
      </c>
      <c r="B155" s="700">
        <v>36</v>
      </c>
      <c r="C155" s="1155">
        <f>+'Statens skalatrin'!N111</f>
        <v>320074.68</v>
      </c>
      <c r="D155" s="1156"/>
      <c r="E155" s="193">
        <f t="shared" si="8"/>
        <v>26672.89</v>
      </c>
      <c r="F155" s="223">
        <f>ROUND(C155*(1+'Løntabel gældende fra'!$D$7/100),0)</f>
        <v>362998</v>
      </c>
      <c r="G155" s="193">
        <f t="shared" si="9"/>
        <v>30249.83</v>
      </c>
      <c r="H155" s="1194">
        <f t="shared" si="10"/>
        <v>4537.47</v>
      </c>
      <c r="I155" s="1195"/>
    </row>
    <row r="156" spans="1:10">
      <c r="A156" s="699">
        <v>38</v>
      </c>
      <c r="B156" s="700">
        <v>38</v>
      </c>
      <c r="C156" s="1155">
        <f>+'Statens skalatrin'!N117</f>
        <v>333128.88</v>
      </c>
      <c r="D156" s="1156"/>
      <c r="E156" s="193">
        <f t="shared" si="8"/>
        <v>27760.74</v>
      </c>
      <c r="F156" s="223">
        <f>ROUND(C156*(1+'Løntabel gældende fra'!$D$7/100),0)</f>
        <v>377803</v>
      </c>
      <c r="G156" s="193">
        <f t="shared" si="9"/>
        <v>31483.58</v>
      </c>
      <c r="H156" s="1194">
        <f t="shared" si="10"/>
        <v>4722.54</v>
      </c>
      <c r="I156" s="1195"/>
    </row>
    <row r="157" spans="1:10">
      <c r="A157" s="699">
        <v>40</v>
      </c>
      <c r="B157" s="700">
        <v>40</v>
      </c>
      <c r="C157" s="1155">
        <f>+'Statens skalatrin'!N123</f>
        <v>347027.46</v>
      </c>
      <c r="D157" s="1156"/>
      <c r="E157" s="193">
        <f t="shared" si="8"/>
        <v>28918.959999999999</v>
      </c>
      <c r="F157" s="223">
        <f>ROUND(C157*(1+'Løntabel gældende fra'!$D$7/100),0)</f>
        <v>393565</v>
      </c>
      <c r="G157" s="193">
        <f t="shared" si="9"/>
        <v>32797.08</v>
      </c>
      <c r="H157" s="1194">
        <f t="shared" si="10"/>
        <v>4919.5600000000004</v>
      </c>
      <c r="I157" s="1195"/>
    </row>
    <row r="158" spans="1:10">
      <c r="A158" s="699">
        <v>41</v>
      </c>
      <c r="B158" s="700">
        <v>41</v>
      </c>
      <c r="C158" s="1155">
        <f>+'Statens skalatrin'!N126</f>
        <v>354249.23</v>
      </c>
      <c r="D158" s="1156"/>
      <c r="E158" s="193">
        <f t="shared" si="8"/>
        <v>29520.77</v>
      </c>
      <c r="F158" s="223">
        <f>ROUND(C158*(1+'Løntabel gældende fra'!$D$7/100),0)</f>
        <v>401755</v>
      </c>
      <c r="G158" s="193">
        <f t="shared" si="9"/>
        <v>33479.58</v>
      </c>
      <c r="H158" s="1194">
        <f t="shared" si="10"/>
        <v>5021.9399999999996</v>
      </c>
      <c r="I158" s="1195"/>
    </row>
    <row r="159" spans="1:10" ht="15" thickBot="1">
      <c r="A159" s="151">
        <v>42</v>
      </c>
      <c r="B159" s="384">
        <v>42</v>
      </c>
      <c r="C159" s="1257">
        <f>+'Statens skalatrin'!N129</f>
        <v>361659.2</v>
      </c>
      <c r="D159" s="1258"/>
      <c r="E159" s="172">
        <f t="shared" si="8"/>
        <v>30138.27</v>
      </c>
      <c r="F159" s="224">
        <f>ROUND(C159*(1+'Løntabel gældende fra'!$D$7/100),0)</f>
        <v>410159</v>
      </c>
      <c r="G159" s="172">
        <f t="shared" si="9"/>
        <v>34179.919999999998</v>
      </c>
      <c r="H159" s="1194">
        <f t="shared" si="10"/>
        <v>5126.99</v>
      </c>
      <c r="I159" s="1195"/>
    </row>
    <row r="160" spans="1:10">
      <c r="A160" s="1341" t="s">
        <v>446</v>
      </c>
      <c r="B160" s="1341"/>
      <c r="C160" s="1341"/>
      <c r="D160" s="1341"/>
      <c r="E160" s="1341"/>
      <c r="F160" s="1341"/>
      <c r="G160" s="1341"/>
      <c r="H160" s="1341"/>
      <c r="I160" s="1341"/>
    </row>
    <row r="161" spans="1:9" ht="15" hidden="1" customHeight="1">
      <c r="A161" s="1342"/>
      <c r="B161" s="1342"/>
      <c r="C161" s="1342"/>
      <c r="D161" s="1342"/>
      <c r="E161" s="1342"/>
      <c r="F161" s="1342"/>
      <c r="G161" s="1342"/>
      <c r="H161" s="1342"/>
      <c r="I161" s="1342"/>
    </row>
    <row r="162" spans="1:9" s="76" customFormat="1" ht="15.75" customHeight="1">
      <c r="A162" s="1342"/>
      <c r="B162" s="1342"/>
      <c r="C162" s="1342"/>
      <c r="D162" s="1342"/>
      <c r="E162" s="1342"/>
      <c r="F162" s="1342"/>
      <c r="G162" s="1342"/>
      <c r="H162" s="1342"/>
      <c r="I162" s="1342"/>
    </row>
    <row r="163" spans="1:9" s="76" customFormat="1" ht="15">
      <c r="A163" s="1342"/>
      <c r="B163" s="1342"/>
      <c r="C163" s="1342"/>
      <c r="D163" s="1342"/>
      <c r="E163" s="1342"/>
      <c r="F163" s="1342"/>
      <c r="G163" s="1342"/>
      <c r="H163" s="1342"/>
      <c r="I163" s="1342"/>
    </row>
    <row r="164" spans="1:9" s="76" customFormat="1" ht="15">
      <c r="A164" s="1342"/>
      <c r="B164" s="1342"/>
      <c r="C164" s="1342"/>
      <c r="D164" s="1342"/>
      <c r="E164" s="1342"/>
      <c r="F164" s="1342"/>
      <c r="G164" s="1342"/>
      <c r="H164" s="1342"/>
      <c r="I164" s="1342"/>
    </row>
    <row r="165" spans="1:9" s="76" customFormat="1" ht="15">
      <c r="A165" s="1342"/>
      <c r="B165" s="1342"/>
      <c r="C165" s="1342"/>
      <c r="D165" s="1342"/>
      <c r="E165" s="1342"/>
      <c r="F165" s="1342"/>
      <c r="G165" s="1342"/>
      <c r="H165" s="1342"/>
      <c r="I165" s="1342"/>
    </row>
    <row r="166" spans="1:9" s="79" customFormat="1" ht="1" customHeight="1">
      <c r="A166" s="1312"/>
      <c r="B166" s="1312"/>
      <c r="C166" s="1312"/>
      <c r="D166" s="1312"/>
      <c r="E166" s="1312"/>
      <c r="F166" s="1312"/>
      <c r="G166" s="1312"/>
      <c r="H166" s="1312"/>
      <c r="I166" s="76"/>
    </row>
    <row r="167" spans="1:9" s="76" customFormat="1" ht="15">
      <c r="A167" s="82"/>
      <c r="B167" s="82"/>
      <c r="C167" s="82"/>
      <c r="D167" s="83"/>
      <c r="E167" s="81"/>
    </row>
    <row r="168" spans="1:9" s="76" customFormat="1" ht="15">
      <c r="A168" s="82"/>
      <c r="B168" s="82"/>
      <c r="C168" s="82"/>
      <c r="D168" s="84"/>
      <c r="E168" s="85"/>
    </row>
    <row r="169" spans="1:9" s="76"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 ref="F110:I110"/>
    <mergeCell ref="F111:I111"/>
    <mergeCell ref="F112:I112"/>
    <mergeCell ref="F113:I113"/>
    <mergeCell ref="B110:E110"/>
    <mergeCell ref="B111:E111"/>
    <mergeCell ref="B112:E112"/>
    <mergeCell ref="B113:E113"/>
    <mergeCell ref="C116:E116"/>
    <mergeCell ref="A114:I114"/>
    <mergeCell ref="H115:I116"/>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4" max="8"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9"/>
  <sheetViews>
    <sheetView view="pageBreakPreview" zoomScaleSheetLayoutView="100" workbookViewId="0">
      <selection activeCell="B63" sqref="B63"/>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s="27" customFormat="1" ht="28" customHeight="1">
      <c r="A1" s="1263" t="s">
        <v>476</v>
      </c>
      <c r="B1" s="1264"/>
      <c r="C1" s="1264"/>
      <c r="D1" s="1264"/>
      <c r="E1" s="1264"/>
      <c r="F1" s="1264"/>
      <c r="G1" s="1265"/>
      <c r="H1" s="2"/>
      <c r="N1" s="945"/>
      <c r="O1" s="945"/>
      <c r="P1" s="945"/>
    </row>
    <row r="2" spans="1:16" s="27" customFormat="1" ht="27" customHeight="1" thickBot="1">
      <c r="A2" s="1292" t="str">
        <f>'Forside 1'!A6:I6</f>
        <v>Gældende fra 1. maj 2022</v>
      </c>
      <c r="B2" s="1293"/>
      <c r="C2" s="1293"/>
      <c r="D2" s="1293"/>
      <c r="E2" s="1293"/>
      <c r="F2" s="1293"/>
      <c r="G2" s="1014"/>
      <c r="H2" s="1014"/>
      <c r="I2" s="1015"/>
      <c r="N2" s="945"/>
      <c r="O2" s="945"/>
      <c r="P2" s="945"/>
    </row>
    <row r="3" spans="1:16" s="27" customFormat="1" ht="18" customHeight="1" thickBot="1">
      <c r="A3" s="956"/>
      <c r="B3" s="956"/>
      <c r="C3" s="956"/>
      <c r="D3" s="956"/>
      <c r="E3" s="956"/>
      <c r="F3" s="956"/>
      <c r="G3" s="955"/>
      <c r="H3" s="2"/>
      <c r="N3" s="945"/>
      <c r="O3" s="945"/>
      <c r="P3" s="945"/>
    </row>
    <row r="4" spans="1:16" ht="14" customHeight="1">
      <c r="A4" s="1384" t="s">
        <v>442</v>
      </c>
      <c r="B4" s="1385"/>
      <c r="C4" s="1385"/>
      <c r="D4" s="1385"/>
      <c r="E4" s="1385"/>
      <c r="F4" s="1386"/>
      <c r="G4" s="89"/>
      <c r="N4" s="1361"/>
      <c r="O4" s="1361"/>
      <c r="P4" s="1361"/>
    </row>
    <row r="5" spans="1:16" ht="14" customHeight="1">
      <c r="A5" s="1387"/>
      <c r="B5" s="1388"/>
      <c r="C5" s="1388"/>
      <c r="D5" s="1388"/>
      <c r="E5" s="1388"/>
      <c r="F5" s="1389"/>
      <c r="G5" s="89"/>
      <c r="H5" s="38"/>
      <c r="N5" s="561"/>
      <c r="O5" s="561"/>
      <c r="P5" s="561"/>
    </row>
    <row r="6" spans="1:16" customFormat="1" ht="15" customHeight="1" thickBot="1">
      <c r="A6" s="1260" t="s">
        <v>308</v>
      </c>
      <c r="B6" s="1261"/>
      <c r="C6" s="1261"/>
      <c r="D6" s="1261"/>
      <c r="E6" s="1261"/>
      <c r="F6" s="1262"/>
      <c r="G6" s="89"/>
      <c r="H6" s="38"/>
    </row>
    <row r="7" spans="1:16" customFormat="1" ht="15" customHeight="1">
      <c r="A7" s="1380"/>
      <c r="B7" s="1381"/>
      <c r="C7" s="1357" t="s">
        <v>131</v>
      </c>
      <c r="D7" s="1358"/>
      <c r="E7" s="1357" t="s">
        <v>340</v>
      </c>
      <c r="F7" s="1358"/>
      <c r="G7" s="77"/>
      <c r="H7" s="38"/>
    </row>
    <row r="8" spans="1:16" customFormat="1" ht="24" customHeight="1" thickBot="1">
      <c r="A8" s="1382"/>
      <c r="B8" s="1383"/>
      <c r="C8" s="1354">
        <v>40999</v>
      </c>
      <c r="D8" s="1350"/>
      <c r="E8" s="1349" t="str">
        <f>'Løntabel gældende fra'!D1</f>
        <v>01/04/2022</v>
      </c>
      <c r="F8" s="1350"/>
      <c r="G8" s="377"/>
      <c r="H8" s="38"/>
    </row>
    <row r="9" spans="1:16" customFormat="1" ht="17" customHeight="1" thickBot="1">
      <c r="A9" s="1359" t="s">
        <v>115</v>
      </c>
      <c r="B9" s="1360"/>
      <c r="C9" s="1363" t="s">
        <v>315</v>
      </c>
      <c r="D9" s="1352"/>
      <c r="E9" s="1363" t="s">
        <v>315</v>
      </c>
      <c r="F9" s="1352"/>
      <c r="G9" s="377"/>
      <c r="H9" s="38"/>
    </row>
    <row r="10" spans="1:16" customFormat="1" ht="17" customHeight="1">
      <c r="A10" s="1396" t="s">
        <v>116</v>
      </c>
      <c r="B10" s="1397"/>
      <c r="C10" s="107">
        <v>370554</v>
      </c>
      <c r="D10" s="108">
        <v>440413</v>
      </c>
      <c r="E10" s="107">
        <f>C10+C10*'Løntabel gældende fra'!$D$7%</f>
        <v>420246.77361600002</v>
      </c>
      <c r="F10" s="108">
        <f>D10+D10*'Løntabel gældende fra'!$D$7%</f>
        <v>499474.144952</v>
      </c>
      <c r="G10" s="59"/>
      <c r="H10" s="38"/>
    </row>
    <row r="11" spans="1:16" customFormat="1" ht="17" customHeight="1">
      <c r="A11" s="1374" t="s">
        <v>117</v>
      </c>
      <c r="B11" s="1375"/>
      <c r="C11" s="109">
        <v>406159</v>
      </c>
      <c r="D11" s="134">
        <v>486503</v>
      </c>
      <c r="E11" s="110">
        <f>C11+C11*'Løntabel gældende fra'!$D$7%</f>
        <v>460626.54653599998</v>
      </c>
      <c r="F11" s="105">
        <f>D11+D11*'Løntabel gældende fra'!$D$7%</f>
        <v>551744.99831199995</v>
      </c>
      <c r="G11" s="59"/>
      <c r="H11" s="38"/>
    </row>
    <row r="12" spans="1:16" customFormat="1" ht="17" customHeight="1">
      <c r="A12" s="1398" t="s">
        <v>440</v>
      </c>
      <c r="B12" s="1399"/>
      <c r="C12" s="110">
        <v>441765</v>
      </c>
      <c r="D12" s="105">
        <v>531283</v>
      </c>
      <c r="E12" s="110">
        <f>C12+C12*'Løntabel gældende fra'!$D$7%</f>
        <v>501007.45355999999</v>
      </c>
      <c r="F12" s="105">
        <f>D12+D12*'Løntabel gældende fra'!$D$7%</f>
        <v>602530.17543199996</v>
      </c>
      <c r="G12" s="59"/>
      <c r="H12" s="79"/>
    </row>
    <row r="13" spans="1:16" s="63" customFormat="1" ht="17" customHeight="1" thickBot="1">
      <c r="A13" s="1392" t="s">
        <v>441</v>
      </c>
      <c r="B13" s="1393"/>
      <c r="C13" s="787">
        <v>441765</v>
      </c>
      <c r="D13" s="788">
        <v>586331</v>
      </c>
      <c r="E13" s="787">
        <f>C13+C13*'Løntabel gældende fra'!$D$7%</f>
        <v>501007.45355999999</v>
      </c>
      <c r="F13" s="788">
        <f>D13+D13*'Løntabel gældende fra'!$D$7%</f>
        <v>664960.33242400002</v>
      </c>
      <c r="G13" s="59"/>
      <c r="H13" s="27"/>
    </row>
    <row r="14" spans="1:16" ht="18" customHeight="1" thickBot="1">
      <c r="A14" s="88"/>
      <c r="B14" s="88"/>
      <c r="C14" s="88"/>
      <c r="D14" s="88"/>
      <c r="E14" s="88"/>
      <c r="F14" s="88"/>
      <c r="G14" s="88"/>
      <c r="H14" s="27"/>
    </row>
    <row r="15" spans="1:16" ht="14" customHeight="1">
      <c r="A15" s="1240" t="s">
        <v>445</v>
      </c>
      <c r="B15" s="1241"/>
      <c r="C15" s="1241"/>
      <c r="D15" s="1241"/>
      <c r="E15" s="1241"/>
      <c r="F15" s="1242"/>
      <c r="G15" s="89"/>
      <c r="H15" s="804"/>
    </row>
    <row r="16" spans="1:16" ht="14" customHeight="1">
      <c r="A16" s="1371"/>
      <c r="B16" s="1372"/>
      <c r="C16" s="1372"/>
      <c r="D16" s="1372"/>
      <c r="E16" s="1372"/>
      <c r="F16" s="1373"/>
      <c r="G16" s="89"/>
      <c r="H16" s="804" t="s">
        <v>129</v>
      </c>
      <c r="I16" s="804"/>
      <c r="N16" s="561"/>
      <c r="O16" s="561"/>
      <c r="P16" s="561"/>
    </row>
    <row r="17" spans="1:16" customFormat="1" ht="15" customHeight="1" thickBot="1">
      <c r="A17" s="1260" t="s">
        <v>308</v>
      </c>
      <c r="B17" s="1261"/>
      <c r="C17" s="1261"/>
      <c r="D17" s="1261"/>
      <c r="E17" s="1261"/>
      <c r="F17" s="1262"/>
      <c r="G17" s="89"/>
      <c r="H17" s="805"/>
      <c r="I17" s="804"/>
    </row>
    <row r="18" spans="1:16" customFormat="1" ht="15" customHeight="1">
      <c r="A18" s="1214"/>
      <c r="B18" s="1216"/>
      <c r="C18" s="1353" t="s">
        <v>131</v>
      </c>
      <c r="D18" s="1177"/>
      <c r="E18" s="1353" t="s">
        <v>340</v>
      </c>
      <c r="F18" s="1177"/>
      <c r="G18" s="77"/>
      <c r="H18" s="804"/>
      <c r="I18" s="806"/>
    </row>
    <row r="19" spans="1:16" customFormat="1" ht="24" customHeight="1" thickBot="1">
      <c r="A19" s="1355"/>
      <c r="B19" s="1356"/>
      <c r="C19" s="1354">
        <v>40999</v>
      </c>
      <c r="D19" s="1350"/>
      <c r="E19" s="1349" t="str">
        <f>'Løntabel gældende fra'!D1</f>
        <v>01/04/2022</v>
      </c>
      <c r="F19" s="1350"/>
      <c r="G19" s="377"/>
      <c r="H19" s="805">
        <v>35388</v>
      </c>
      <c r="I19" s="804"/>
    </row>
    <row r="20" spans="1:16" customFormat="1" ht="17" customHeight="1" thickBot="1">
      <c r="A20" s="790" t="s">
        <v>115</v>
      </c>
      <c r="B20" s="457" t="s">
        <v>119</v>
      </c>
      <c r="C20" s="1351" t="s">
        <v>315</v>
      </c>
      <c r="D20" s="1352"/>
      <c r="E20" s="1363" t="s">
        <v>315</v>
      </c>
      <c r="F20" s="1352"/>
      <c r="G20" s="377"/>
      <c r="H20" s="805">
        <v>35388</v>
      </c>
      <c r="I20" s="806">
        <v>26213</v>
      </c>
      <c r="J20" s="901"/>
      <c r="K20" s="901"/>
    </row>
    <row r="21" spans="1:16" customFormat="1" ht="17" customHeight="1">
      <c r="A21" s="794" t="s">
        <v>120</v>
      </c>
      <c r="B21" s="793" t="s">
        <v>121</v>
      </c>
      <c r="C21" s="135">
        <f>C10+H19</f>
        <v>405942</v>
      </c>
      <c r="D21" s="136">
        <f>D10+I20</f>
        <v>466626</v>
      </c>
      <c r="E21" s="132">
        <f>C21+C21*'Løntabel gældende fra'!$D$7%</f>
        <v>460380.44596799999</v>
      </c>
      <c r="F21" s="133">
        <f>D21+D21*'Løntabel gældende fra'!$D$7%</f>
        <v>529202.41310400004</v>
      </c>
      <c r="G21" s="59"/>
      <c r="H21" s="805">
        <v>35388</v>
      </c>
      <c r="I21" s="806">
        <v>26213</v>
      </c>
      <c r="J21" s="901"/>
      <c r="K21" s="901"/>
    </row>
    <row r="22" spans="1:16" customFormat="1" ht="17" customHeight="1">
      <c r="A22" s="444" t="s">
        <v>117</v>
      </c>
      <c r="B22" s="99" t="s">
        <v>121</v>
      </c>
      <c r="C22" s="109">
        <f>C11+H20</f>
        <v>441547</v>
      </c>
      <c r="D22" s="134">
        <f>D11+I21</f>
        <v>512716</v>
      </c>
      <c r="E22" s="106">
        <f>C22+C22*'Løntabel gældende fra'!$D$7%</f>
        <v>500760.218888</v>
      </c>
      <c r="F22" s="105">
        <f>D22+D22*'Løntabel gældende fra'!$D$7%</f>
        <v>581473.26646399999</v>
      </c>
      <c r="G22" s="59"/>
      <c r="H22" s="806">
        <v>52426</v>
      </c>
      <c r="I22" s="806">
        <v>26213</v>
      </c>
      <c r="J22" s="901"/>
      <c r="K22" s="901"/>
    </row>
    <row r="23" spans="1:16" s="63" customFormat="1" ht="17" customHeight="1">
      <c r="A23" s="791" t="s">
        <v>118</v>
      </c>
      <c r="B23" s="792" t="s">
        <v>121</v>
      </c>
      <c r="C23" s="135">
        <f>C12+H21</f>
        <v>477153</v>
      </c>
      <c r="D23" s="136">
        <f>D12+I22</f>
        <v>557496</v>
      </c>
      <c r="E23" s="137">
        <f>C23+C23*'Løntabel gældende fra'!$D$7%</f>
        <v>541141.12591199996</v>
      </c>
      <c r="F23" s="138">
        <f>D23+D23*'Løntabel gældende fra'!$D$7%</f>
        <v>632258.44358399999</v>
      </c>
      <c r="G23" s="59"/>
      <c r="H23" s="806">
        <v>52426</v>
      </c>
      <c r="I23" s="806">
        <v>43252</v>
      </c>
    </row>
    <row r="24" spans="1:16" s="63" customFormat="1" ht="17" customHeight="1">
      <c r="A24" s="795" t="s">
        <v>122</v>
      </c>
      <c r="B24" s="797" t="s">
        <v>123</v>
      </c>
      <c r="C24" s="110">
        <f>C10+H22</f>
        <v>422980</v>
      </c>
      <c r="D24" s="105">
        <f>D10+I23</f>
        <v>483665</v>
      </c>
      <c r="E24" s="106">
        <f>C24+C24*'Løntabel gældende fra'!$D$7%</f>
        <v>479703.30992000003</v>
      </c>
      <c r="F24" s="105">
        <f>D24+D24*'Løntabel gældende fra'!$D$7%</f>
        <v>548526.41116000002</v>
      </c>
      <c r="G24" s="73"/>
      <c r="H24" s="806">
        <v>52426</v>
      </c>
      <c r="I24" s="806">
        <v>43252</v>
      </c>
    </row>
    <row r="25" spans="1:16" s="63" customFormat="1" ht="17" customHeight="1">
      <c r="A25" s="795" t="s">
        <v>117</v>
      </c>
      <c r="B25" s="797" t="s">
        <v>123</v>
      </c>
      <c r="C25" s="135">
        <f>C11+H23</f>
        <v>458585</v>
      </c>
      <c r="D25" s="136">
        <f>D11+I24</f>
        <v>529755</v>
      </c>
      <c r="E25" s="139">
        <f>C25+C25*'Løntabel gældende fra'!$D$7%</f>
        <v>520083.08283999999</v>
      </c>
      <c r="F25" s="136">
        <f>D25+D25*'Løntabel gældende fra'!$D$7%</f>
        <v>600797.26451999997</v>
      </c>
      <c r="G25" s="73"/>
      <c r="H25" s="807">
        <v>70776</v>
      </c>
      <c r="I25" s="806">
        <v>43252</v>
      </c>
    </row>
    <row r="26" spans="1:16" s="63" customFormat="1" ht="17" customHeight="1">
      <c r="A26" s="795" t="s">
        <v>118</v>
      </c>
      <c r="B26" s="797" t="s">
        <v>123</v>
      </c>
      <c r="C26" s="110">
        <f>C12+H24</f>
        <v>494191</v>
      </c>
      <c r="D26" s="105">
        <f>D12+I25</f>
        <v>574535</v>
      </c>
      <c r="E26" s="106">
        <f>C26+C26*'Løntabel gældende fra'!$D$7%</f>
        <v>560463.989864</v>
      </c>
      <c r="F26" s="105">
        <f>D26+D26*'Løntabel gældende fra'!$D$7%</f>
        <v>651582.44163999998</v>
      </c>
      <c r="G26" s="73"/>
      <c r="H26" s="807">
        <v>70776</v>
      </c>
      <c r="I26" s="807">
        <v>61601</v>
      </c>
    </row>
    <row r="27" spans="1:16" s="63" customFormat="1" ht="17" customHeight="1">
      <c r="A27" s="795" t="s">
        <v>122</v>
      </c>
      <c r="B27" s="797" t="s">
        <v>124</v>
      </c>
      <c r="C27" s="110">
        <f>C10+H25</f>
        <v>441330</v>
      </c>
      <c r="D27" s="105">
        <f>D10+I26</f>
        <v>502014</v>
      </c>
      <c r="E27" s="132">
        <f>C27+C27*'Løntabel gældende fra'!$D$7%</f>
        <v>500514.11832000001</v>
      </c>
      <c r="F27" s="133">
        <f>D27+D27*'Løntabel gældende fra'!$D$7%</f>
        <v>569336.08545599994</v>
      </c>
      <c r="G27" s="73"/>
      <c r="H27" s="807">
        <v>70776</v>
      </c>
      <c r="I27" s="807">
        <v>61601</v>
      </c>
    </row>
    <row r="28" spans="1:16" s="63" customFormat="1" ht="17" customHeight="1">
      <c r="A28" s="795" t="s">
        <v>117</v>
      </c>
      <c r="B28" s="797" t="s">
        <v>124</v>
      </c>
      <c r="C28" s="110">
        <f>C11+H26</f>
        <v>476935</v>
      </c>
      <c r="D28" s="105">
        <f>D11+I27</f>
        <v>548104</v>
      </c>
      <c r="E28" s="106">
        <f>C28+C28*'Løntabel gældende fra'!$D$7%</f>
        <v>540893.89124000003</v>
      </c>
      <c r="F28" s="105">
        <f>D28+D28*'Løntabel gældende fra'!$D$7%</f>
        <v>621606.93881600001</v>
      </c>
      <c r="G28" s="73"/>
      <c r="H28" s="807"/>
      <c r="I28" s="807">
        <v>61601</v>
      </c>
    </row>
    <row r="29" spans="1:16" s="63" customFormat="1" ht="18" customHeight="1" thickBot="1">
      <c r="A29" s="796" t="s">
        <v>118</v>
      </c>
      <c r="B29" s="798" t="s">
        <v>124</v>
      </c>
      <c r="C29" s="111">
        <f>C12+H27</f>
        <v>512541</v>
      </c>
      <c r="D29" s="113">
        <f>D12+I28</f>
        <v>592884</v>
      </c>
      <c r="E29" s="112">
        <f>C29+C29*'Løntabel gældende fra'!$D$7%</f>
        <v>581274.79826399998</v>
      </c>
      <c r="F29" s="113">
        <f>D29+D29*'Løntabel gældende fra'!$D$7%</f>
        <v>672392.11593600002</v>
      </c>
      <c r="G29" s="73"/>
      <c r="H29" s="2"/>
      <c r="I29" s="807"/>
    </row>
    <row r="30" spans="1:16" ht="24" customHeight="1" thickBot="1">
      <c r="A30" s="73"/>
      <c r="B30" s="73"/>
      <c r="C30" s="73"/>
      <c r="D30" s="73"/>
      <c r="E30" s="73"/>
      <c r="F30" s="73"/>
      <c r="G30" s="73"/>
      <c r="N30" s="1370"/>
      <c r="O30" s="1370"/>
      <c r="P30" s="1370"/>
    </row>
    <row r="31" spans="1:16" ht="11" customHeight="1">
      <c r="A31" s="1364" t="s">
        <v>465</v>
      </c>
      <c r="B31" s="1365"/>
      <c r="C31" s="1365"/>
      <c r="D31" s="1365"/>
      <c r="E31" s="1365"/>
      <c r="F31" s="1366"/>
      <c r="G31" s="89"/>
      <c r="N31" s="1361"/>
      <c r="O31" s="1361"/>
      <c r="P31" s="1361"/>
    </row>
    <row r="32" spans="1:16" ht="14" customHeight="1">
      <c r="A32" s="1367"/>
      <c r="B32" s="1368"/>
      <c r="C32" s="1368"/>
      <c r="D32" s="1368"/>
      <c r="E32" s="1368"/>
      <c r="F32" s="1369"/>
      <c r="G32" s="89"/>
      <c r="H32" s="38"/>
      <c r="N32" s="561"/>
      <c r="O32" s="561"/>
      <c r="P32" s="561"/>
    </row>
    <row r="33" spans="1:11" customFormat="1" ht="15" customHeight="1" thickBot="1">
      <c r="A33" s="1260" t="s">
        <v>308</v>
      </c>
      <c r="B33" s="1261"/>
      <c r="C33" s="1261"/>
      <c r="D33" s="1261"/>
      <c r="E33" s="1261"/>
      <c r="F33" s="1262"/>
      <c r="G33" s="89"/>
      <c r="H33" s="38"/>
    </row>
    <row r="34" spans="1:11" customFormat="1" ht="15" customHeight="1">
      <c r="A34" s="1214"/>
      <c r="B34" s="1216"/>
      <c r="C34" s="1353" t="s">
        <v>131</v>
      </c>
      <c r="D34" s="1177"/>
      <c r="E34" s="1353" t="s">
        <v>340</v>
      </c>
      <c r="F34" s="1177"/>
      <c r="G34" s="77"/>
      <c r="H34" s="38"/>
    </row>
    <row r="35" spans="1:11" customFormat="1" ht="24" customHeight="1" thickBot="1">
      <c r="A35" s="1217"/>
      <c r="B35" s="1219"/>
      <c r="C35" s="1354">
        <v>40999</v>
      </c>
      <c r="D35" s="1350"/>
      <c r="E35" s="1349" t="str">
        <f>'Løntabel gældende fra'!D1</f>
        <v>01/04/2022</v>
      </c>
      <c r="F35" s="1350"/>
      <c r="G35" s="377"/>
      <c r="H35" s="38"/>
    </row>
    <row r="36" spans="1:11" customFormat="1" ht="24" customHeight="1" thickBot="1">
      <c r="A36" s="1394" t="s">
        <v>115</v>
      </c>
      <c r="B36" s="1395"/>
      <c r="C36" s="1390" t="s">
        <v>259</v>
      </c>
      <c r="D36" s="1391"/>
      <c r="E36" s="1363" t="s">
        <v>259</v>
      </c>
      <c r="F36" s="1352"/>
      <c r="G36" s="377"/>
      <c r="H36" s="38"/>
    </row>
    <row r="37" spans="1:11" customFormat="1" ht="22" customHeight="1">
      <c r="A37" s="1406" t="s">
        <v>443</v>
      </c>
      <c r="B37" s="1407"/>
      <c r="C37" s="1410">
        <v>353412</v>
      </c>
      <c r="D37" s="1411"/>
      <c r="E37" s="1410">
        <f>C37+C37*'Løntabel gældende fra'!$D$7%</f>
        <v>400805.962848</v>
      </c>
      <c r="F37" s="1411"/>
      <c r="G37" s="59"/>
      <c r="H37" s="73"/>
    </row>
    <row r="38" spans="1:11" s="63" customFormat="1" ht="23" customHeight="1" thickBot="1">
      <c r="A38" s="1408" t="s">
        <v>118</v>
      </c>
      <c r="B38" s="1409"/>
      <c r="C38" s="1412">
        <v>396929</v>
      </c>
      <c r="D38" s="1413"/>
      <c r="E38" s="1423">
        <f>C38+C38*'Løntabel gældende fra'!$D$7%</f>
        <v>450158.76661599998</v>
      </c>
      <c r="F38" s="1424"/>
      <c r="G38" s="59"/>
      <c r="H38" s="73"/>
      <c r="I38" s="73"/>
      <c r="J38" s="73"/>
      <c r="K38" s="73"/>
    </row>
    <row r="39" spans="1:11" s="63" customFormat="1" ht="7" customHeight="1">
      <c r="A39" s="1425"/>
      <c r="B39" s="1425"/>
      <c r="C39" s="1425"/>
      <c r="D39" s="1425"/>
      <c r="E39" s="1425"/>
      <c r="F39" s="128"/>
      <c r="G39" s="73"/>
      <c r="H39" s="73"/>
      <c r="I39" s="73"/>
      <c r="J39" s="73"/>
      <c r="K39" s="73"/>
    </row>
    <row r="40" spans="1:11" s="63" customFormat="1" ht="54" customHeight="1" thickBot="1">
      <c r="A40" s="674"/>
      <c r="B40" s="675"/>
      <c r="C40" s="674"/>
      <c r="D40" s="676"/>
      <c r="E40" s="676"/>
      <c r="F40" s="676"/>
      <c r="G40" s="73"/>
      <c r="H40" s="73"/>
      <c r="I40" s="73"/>
      <c r="J40" s="73"/>
      <c r="K40" s="73"/>
    </row>
    <row r="41" spans="1:11" s="63" customFormat="1" ht="21" thickBot="1">
      <c r="A41" s="1414" t="s">
        <v>163</v>
      </c>
      <c r="B41" s="1415"/>
      <c r="C41" s="1415"/>
      <c r="D41" s="1415"/>
      <c r="E41" s="1415"/>
      <c r="F41" s="1415"/>
      <c r="G41" s="1416"/>
      <c r="H41" s="73"/>
      <c r="I41" s="73"/>
      <c r="J41" s="73"/>
      <c r="K41" s="73"/>
    </row>
    <row r="42" spans="1:11" s="63" customFormat="1" ht="50" customHeight="1">
      <c r="A42" s="1178" t="s">
        <v>466</v>
      </c>
      <c r="B42" s="1417" t="s">
        <v>475</v>
      </c>
      <c r="C42" s="1418"/>
      <c r="D42" s="1419"/>
      <c r="E42" s="665" t="s">
        <v>131</v>
      </c>
      <c r="F42" s="666" t="s">
        <v>340</v>
      </c>
      <c r="G42" s="573"/>
      <c r="H42" s="73"/>
      <c r="I42" s="73"/>
      <c r="J42" s="73"/>
      <c r="K42" s="73"/>
    </row>
    <row r="43" spans="1:11" s="63" customFormat="1" ht="21" thickBot="1">
      <c r="A43" s="1179"/>
      <c r="B43" s="1420"/>
      <c r="C43" s="1421"/>
      <c r="D43" s="1422"/>
      <c r="E43" s="799">
        <v>40999</v>
      </c>
      <c r="F43" s="800" t="str">
        <f>'Løntabel gældende fra'!$D$1</f>
        <v>01/04/2022</v>
      </c>
      <c r="G43" s="574"/>
      <c r="H43" s="73"/>
      <c r="I43" s="73"/>
      <c r="J43" s="73"/>
      <c r="K43" s="73"/>
    </row>
    <row r="44" spans="1:11" s="63" customFormat="1" ht="34" customHeight="1" thickBot="1">
      <c r="A44" s="1271"/>
      <c r="B44" s="1403" t="s">
        <v>474</v>
      </c>
      <c r="C44" s="1404"/>
      <c r="D44" s="1405"/>
      <c r="E44" s="576">
        <v>130000</v>
      </c>
      <c r="F44" s="577">
        <f>E44+E44*'Løntabel gældende fra'!$D$7%</f>
        <v>147433.51999999999</v>
      </c>
      <c r="G44" s="575"/>
      <c r="H44" s="73"/>
      <c r="I44" s="73"/>
      <c r="J44" s="73"/>
      <c r="K44" s="73"/>
    </row>
    <row r="45" spans="1:11" s="63" customFormat="1" ht="21" thickBot="1">
      <c r="A45" s="218" t="s">
        <v>467</v>
      </c>
      <c r="B45" s="1400" t="s">
        <v>444</v>
      </c>
      <c r="C45" s="1401"/>
      <c r="D45" s="1401"/>
      <c r="E45" s="1401"/>
      <c r="F45" s="1401"/>
      <c r="G45" s="1402"/>
      <c r="H45" s="86"/>
      <c r="I45" s="73"/>
      <c r="J45" s="73"/>
      <c r="K45" s="73"/>
    </row>
    <row r="46" spans="1:11" ht="36" customHeight="1" thickBot="1">
      <c r="A46" s="63"/>
      <c r="B46" s="82"/>
      <c r="C46" s="63"/>
      <c r="D46" s="127"/>
      <c r="E46" s="127"/>
      <c r="F46" s="127"/>
      <c r="G46" s="73"/>
      <c r="H46" s="87"/>
    </row>
    <row r="47" spans="1:11" ht="34" customHeight="1">
      <c r="A47" s="1364" t="s">
        <v>487</v>
      </c>
      <c r="B47" s="1365"/>
      <c r="C47" s="1365"/>
      <c r="D47" s="1365"/>
      <c r="E47" s="1365"/>
      <c r="F47" s="1365"/>
      <c r="G47" s="1366"/>
      <c r="H47" s="87"/>
    </row>
    <row r="48" spans="1:11" s="79" customFormat="1" ht="26" customHeight="1" thickBot="1">
      <c r="A48" s="1345" t="str">
        <f>'Løntabel gældende fra'!$D$1</f>
        <v>01/04/2022</v>
      </c>
      <c r="B48" s="1346"/>
      <c r="C48" s="1346"/>
      <c r="D48" s="1346"/>
      <c r="E48" s="1346"/>
      <c r="F48" s="1346"/>
      <c r="G48" s="1427"/>
      <c r="H48" s="87"/>
    </row>
    <row r="49" spans="1:8" s="79" customFormat="1" ht="26" customHeight="1">
      <c r="A49" s="1376" t="s">
        <v>88</v>
      </c>
      <c r="B49" s="1377"/>
      <c r="C49" s="1377"/>
      <c r="D49" s="1377"/>
      <c r="E49" s="1377"/>
      <c r="F49" s="1378"/>
      <c r="G49" s="1018"/>
      <c r="H49" s="87"/>
    </row>
    <row r="50" spans="1:8" s="79" customFormat="1" ht="32" customHeight="1">
      <c r="A50" s="1431" t="s">
        <v>489</v>
      </c>
      <c r="B50" s="1432"/>
      <c r="C50" s="1432"/>
      <c r="D50" s="1432"/>
      <c r="E50" s="1432"/>
      <c r="F50" s="1433"/>
      <c r="G50" s="1019"/>
      <c r="H50" s="87"/>
    </row>
    <row r="51" spans="1:8" s="79" customFormat="1" ht="30" customHeight="1">
      <c r="A51" s="1379" t="s">
        <v>488</v>
      </c>
      <c r="B51" s="1379"/>
      <c r="C51" s="1379"/>
      <c r="D51" s="1379"/>
      <c r="E51" s="1379"/>
      <c r="F51" s="1379"/>
      <c r="G51" s="1019"/>
      <c r="H51" s="87"/>
    </row>
    <row r="52" spans="1:8" s="79" customFormat="1" ht="47" customHeight="1">
      <c r="A52" s="1428" t="s">
        <v>125</v>
      </c>
      <c r="B52" s="1428"/>
      <c r="C52" s="1428"/>
      <c r="D52" s="1428"/>
      <c r="E52" s="1428"/>
      <c r="F52" s="1428"/>
      <c r="G52" s="1428"/>
      <c r="H52" s="87"/>
    </row>
    <row r="53" spans="1:8" s="79" customFormat="1" ht="14" customHeight="1">
      <c r="A53" s="91"/>
      <c r="B53" s="91"/>
      <c r="C53" s="91"/>
      <c r="D53" s="91"/>
      <c r="E53" s="91"/>
      <c r="F53" s="91"/>
      <c r="G53" s="91"/>
      <c r="H53" s="87"/>
    </row>
    <row r="54" spans="1:8" s="79" customFormat="1" ht="14" customHeight="1">
      <c r="A54" s="1379" t="s">
        <v>126</v>
      </c>
      <c r="B54" s="1429" t="s">
        <v>512</v>
      </c>
      <c r="C54" s="1429"/>
      <c r="D54" s="1429"/>
      <c r="E54" s="1429"/>
      <c r="F54" s="1429"/>
      <c r="G54" s="1429"/>
      <c r="H54" s="87"/>
    </row>
    <row r="55" spans="1:8" s="79" customFormat="1" ht="14" customHeight="1">
      <c r="A55" s="1379"/>
      <c r="B55" s="90" t="s">
        <v>513</v>
      </c>
      <c r="C55" s="801"/>
      <c r="D55" s="801"/>
      <c r="E55" s="801"/>
      <c r="F55" s="801"/>
      <c r="G55" s="801"/>
      <c r="H55" s="87"/>
    </row>
    <row r="56" spans="1:8" s="79" customFormat="1" ht="14" customHeight="1">
      <c r="A56" s="1379"/>
      <c r="B56" s="1429" t="s">
        <v>514</v>
      </c>
      <c r="C56" s="1429"/>
      <c r="D56" s="1429"/>
      <c r="E56" s="1429"/>
      <c r="F56" s="1429"/>
      <c r="G56" s="1429"/>
      <c r="H56" s="87"/>
    </row>
    <row r="57" spans="1:8" s="79" customFormat="1" ht="14" customHeight="1">
      <c r="A57" s="92"/>
      <c r="B57" s="1429"/>
      <c r="C57" s="1429"/>
      <c r="D57" s="1429"/>
      <c r="E57" s="1429"/>
      <c r="F57" s="1429"/>
      <c r="G57" s="1429"/>
      <c r="H57" s="87"/>
    </row>
    <row r="58" spans="1:8" s="79" customFormat="1" ht="14" customHeight="1">
      <c r="A58" s="556"/>
      <c r="B58" s="555"/>
      <c r="C58" s="555"/>
      <c r="D58" s="555"/>
      <c r="E58" s="555"/>
      <c r="F58" s="555"/>
      <c r="G58" s="555"/>
      <c r="H58" s="87"/>
    </row>
    <row r="59" spans="1:8" s="79" customFormat="1" ht="14" customHeight="1">
      <c r="A59" s="1379" t="s">
        <v>127</v>
      </c>
      <c r="B59" s="1429" t="s">
        <v>515</v>
      </c>
      <c r="C59" s="1429"/>
      <c r="D59" s="1429"/>
      <c r="E59" s="1429"/>
      <c r="F59" s="1429"/>
      <c r="G59" s="1429"/>
      <c r="H59" s="87"/>
    </row>
    <row r="60" spans="1:8" s="79" customFormat="1" ht="14" customHeight="1">
      <c r="A60" s="1379"/>
      <c r="B60" s="90" t="s">
        <v>516</v>
      </c>
      <c r="C60" s="801"/>
      <c r="D60" s="801"/>
      <c r="E60" s="801"/>
      <c r="F60" s="801"/>
      <c r="G60" s="801"/>
      <c r="H60" s="87"/>
    </row>
    <row r="61" spans="1:8" s="79" customFormat="1" ht="14" customHeight="1">
      <c r="A61" s="1379"/>
      <c r="B61" s="1429" t="s">
        <v>517</v>
      </c>
      <c r="C61" s="1429"/>
      <c r="D61" s="1429"/>
      <c r="E61" s="1429"/>
      <c r="F61" s="1429"/>
      <c r="G61" s="1429"/>
      <c r="H61" s="87"/>
    </row>
    <row r="62" spans="1:8" s="79" customFormat="1" ht="12" customHeight="1">
      <c r="A62" s="556"/>
      <c r="B62" s="1429"/>
      <c r="C62" s="1429"/>
      <c r="D62" s="1429"/>
      <c r="E62" s="1429"/>
      <c r="F62" s="1429"/>
      <c r="G62" s="1429"/>
      <c r="H62" s="2"/>
    </row>
    <row r="63" spans="1:8" ht="18" customHeight="1" thickBot="1">
      <c r="A63" s="73"/>
      <c r="B63" s="73"/>
      <c r="C63" s="73"/>
      <c r="D63" s="73"/>
      <c r="E63" s="73"/>
      <c r="F63" s="73"/>
      <c r="G63" s="73"/>
    </row>
    <row r="64" spans="1:8" ht="18" customHeight="1">
      <c r="A64" s="1178" t="s">
        <v>57</v>
      </c>
      <c r="B64" s="1149" t="s">
        <v>23</v>
      </c>
      <c r="C64" s="1198"/>
      <c r="D64" s="1149" t="s">
        <v>24</v>
      </c>
      <c r="E64" s="1198"/>
      <c r="F64" s="655" t="s">
        <v>343</v>
      </c>
      <c r="G64" s="1178" t="s">
        <v>95</v>
      </c>
    </row>
    <row r="65" spans="1:8" ht="19" customHeight="1" thickBot="1">
      <c r="A65" s="1179"/>
      <c r="B65" s="658">
        <v>40999</v>
      </c>
      <c r="C65" s="659"/>
      <c r="D65" s="1164" t="str">
        <f>'Løntabel gældende fra'!$D$1</f>
        <v>01/04/2022</v>
      </c>
      <c r="E65" s="1430"/>
      <c r="F65" s="656" t="str">
        <f>'Løntabel gældende fra'!$D$1</f>
        <v>01/04/2022</v>
      </c>
      <c r="G65" s="1179"/>
      <c r="H65" s="51"/>
    </row>
    <row r="66" spans="1:8" ht="14" customHeight="1" thickBot="1">
      <c r="A66" s="1179"/>
      <c r="B66" s="660" t="s">
        <v>86</v>
      </c>
      <c r="C66" s="657" t="s">
        <v>161</v>
      </c>
      <c r="D66" s="341" t="s">
        <v>86</v>
      </c>
      <c r="E66" s="434" t="s">
        <v>161</v>
      </c>
      <c r="F66" s="434" t="s">
        <v>161</v>
      </c>
      <c r="G66" s="346">
        <v>0.15</v>
      </c>
    </row>
    <row r="67" spans="1:8">
      <c r="A67" s="379">
        <v>31</v>
      </c>
      <c r="B67" s="448">
        <f>+'Statens skalatrin'!N96</f>
        <v>290512.64000000001</v>
      </c>
      <c r="C67" s="448">
        <f>ROUND(B67/12,2)</f>
        <v>24209.39</v>
      </c>
      <c r="D67" s="449">
        <f>ROUND(B67*(1+'Løntabel gældende fra'!$D$7/100),0)</f>
        <v>329472</v>
      </c>
      <c r="E67" s="927">
        <f>ROUND(D67/12,2)</f>
        <v>27456</v>
      </c>
      <c r="F67" s="928">
        <f>ROUND(E67*15%,2)</f>
        <v>4118.3999999999996</v>
      </c>
      <c r="G67" s="450">
        <f>F67*$G$66</f>
        <v>617.75999999999988</v>
      </c>
    </row>
    <row r="68" spans="1:8">
      <c r="A68" s="444">
        <v>32</v>
      </c>
      <c r="B68" s="193">
        <f>+'Statens skalatrin'!N99</f>
        <v>296125.21000000002</v>
      </c>
      <c r="C68" s="663">
        <f t="shared" ref="C68:C86" si="0">ROUND(B68/12,2)</f>
        <v>24677.1</v>
      </c>
      <c r="D68" s="661">
        <f>ROUND(B68*(1+'Løntabel gældende fra'!$D$7/100),0)</f>
        <v>335837</v>
      </c>
      <c r="E68" s="929">
        <f t="shared" ref="E68:E86" si="1">ROUND(D68/12,2)</f>
        <v>27986.42</v>
      </c>
      <c r="F68" s="920">
        <f t="shared" ref="F68:F86" si="2">ROUND(E68*15%,2)</f>
        <v>4197.96</v>
      </c>
      <c r="G68" s="192">
        <f t="shared" ref="G68:G86" si="3">F68*$G$66</f>
        <v>629.69399999999996</v>
      </c>
    </row>
    <row r="69" spans="1:8">
      <c r="A69" s="444">
        <v>33</v>
      </c>
      <c r="B69" s="193">
        <f>+'Statens skalatrin'!N102</f>
        <v>301881.8</v>
      </c>
      <c r="C69" s="663">
        <f t="shared" si="0"/>
        <v>25156.82</v>
      </c>
      <c r="D69" s="661">
        <f>ROUND(B69*(1+'Løntabel gældende fra'!$D$7/100),0)</f>
        <v>342365</v>
      </c>
      <c r="E69" s="929">
        <f t="shared" si="1"/>
        <v>28530.42</v>
      </c>
      <c r="F69" s="920">
        <f t="shared" si="2"/>
        <v>4279.5600000000004</v>
      </c>
      <c r="G69" s="192">
        <f t="shared" si="3"/>
        <v>641.93400000000008</v>
      </c>
    </row>
    <row r="70" spans="1:8">
      <c r="A70" s="444">
        <v>34</v>
      </c>
      <c r="B70" s="193">
        <f>+'Statens skalatrin'!N105</f>
        <v>307790.62</v>
      </c>
      <c r="C70" s="663">
        <f t="shared" si="0"/>
        <v>25649.22</v>
      </c>
      <c r="D70" s="661">
        <f>ROUND(B70*(1+'Løntabel gældende fra'!$D$7/100),0)</f>
        <v>349067</v>
      </c>
      <c r="E70" s="929">
        <f t="shared" si="1"/>
        <v>29088.92</v>
      </c>
      <c r="F70" s="920">
        <f t="shared" si="2"/>
        <v>4363.34</v>
      </c>
      <c r="G70" s="192">
        <f t="shared" si="3"/>
        <v>654.50099999999998</v>
      </c>
    </row>
    <row r="71" spans="1:8">
      <c r="A71" s="444">
        <v>35</v>
      </c>
      <c r="B71" s="193">
        <f>+'Statens skalatrin'!N108</f>
        <v>313854.56</v>
      </c>
      <c r="C71" s="663">
        <f t="shared" si="0"/>
        <v>26154.55</v>
      </c>
      <c r="D71" s="661">
        <f>ROUND(B71*(1+'Løntabel gældende fra'!$D$7/100),0)</f>
        <v>355944</v>
      </c>
      <c r="E71" s="929">
        <f t="shared" si="1"/>
        <v>29662</v>
      </c>
      <c r="F71" s="920">
        <f t="shared" si="2"/>
        <v>4449.3</v>
      </c>
      <c r="G71" s="192">
        <f t="shared" si="3"/>
        <v>667.39499999999998</v>
      </c>
    </row>
    <row r="72" spans="1:8">
      <c r="A72" s="444">
        <v>36</v>
      </c>
      <c r="B72" s="193">
        <f>+'Statens skalatrin'!N111</f>
        <v>320074.68</v>
      </c>
      <c r="C72" s="663">
        <f t="shared" si="0"/>
        <v>26672.89</v>
      </c>
      <c r="D72" s="661">
        <f>ROUND(B72*(1+'Løntabel gældende fra'!$D$7/100),0)</f>
        <v>362998</v>
      </c>
      <c r="E72" s="929">
        <f t="shared" si="1"/>
        <v>30249.83</v>
      </c>
      <c r="F72" s="920">
        <f t="shared" si="2"/>
        <v>4537.47</v>
      </c>
      <c r="G72" s="192">
        <f t="shared" si="3"/>
        <v>680.62049999999999</v>
      </c>
    </row>
    <row r="73" spans="1:8">
      <c r="A73" s="444">
        <v>37</v>
      </c>
      <c r="B73" s="193">
        <f>+'Statens skalatrin'!N114</f>
        <v>326457.34000000003</v>
      </c>
      <c r="C73" s="663">
        <f t="shared" si="0"/>
        <v>27204.78</v>
      </c>
      <c r="D73" s="661">
        <f>ROUND(B73*(1+'Løntabel gældende fra'!$D$7/100),0)</f>
        <v>370237</v>
      </c>
      <c r="E73" s="929">
        <f t="shared" si="1"/>
        <v>30853.08</v>
      </c>
      <c r="F73" s="920">
        <f t="shared" si="2"/>
        <v>4627.96</v>
      </c>
      <c r="G73" s="192">
        <f t="shared" si="3"/>
        <v>694.19399999999996</v>
      </c>
    </row>
    <row r="74" spans="1:8">
      <c r="A74" s="444">
        <v>38</v>
      </c>
      <c r="B74" s="193">
        <f>+'Statens skalatrin'!N117</f>
        <v>333128.88</v>
      </c>
      <c r="C74" s="663">
        <f t="shared" si="0"/>
        <v>27760.74</v>
      </c>
      <c r="D74" s="661">
        <f>ROUND(B74*(1+'Løntabel gældende fra'!$D$7/100),0)</f>
        <v>377803</v>
      </c>
      <c r="E74" s="929">
        <f t="shared" si="1"/>
        <v>31483.58</v>
      </c>
      <c r="F74" s="920">
        <f t="shared" si="2"/>
        <v>4722.54</v>
      </c>
      <c r="G74" s="192">
        <f t="shared" si="3"/>
        <v>708.38099999999997</v>
      </c>
    </row>
    <row r="75" spans="1:8">
      <c r="A75" s="444">
        <v>39</v>
      </c>
      <c r="B75" s="193">
        <f>+'Statens skalatrin'!N120</f>
        <v>339989.41</v>
      </c>
      <c r="C75" s="663">
        <f t="shared" si="0"/>
        <v>28332.45</v>
      </c>
      <c r="D75" s="661">
        <f>ROUND(B75*(1+'Løntabel gældende fra'!$D$7/100),0)</f>
        <v>385583</v>
      </c>
      <c r="E75" s="929">
        <f t="shared" si="1"/>
        <v>32131.919999999998</v>
      </c>
      <c r="F75" s="920">
        <f t="shared" si="2"/>
        <v>4819.79</v>
      </c>
      <c r="G75" s="192">
        <f t="shared" si="3"/>
        <v>722.96849999999995</v>
      </c>
    </row>
    <row r="76" spans="1:8">
      <c r="A76" s="444">
        <v>40</v>
      </c>
      <c r="B76" s="193">
        <f>+'Statens skalatrin'!N123</f>
        <v>347027.46</v>
      </c>
      <c r="C76" s="663">
        <f t="shared" si="0"/>
        <v>28918.959999999999</v>
      </c>
      <c r="D76" s="661">
        <f>ROUND(B76*(1+'Løntabel gældende fra'!$D$7/100),0)</f>
        <v>393565</v>
      </c>
      <c r="E76" s="929">
        <f t="shared" si="1"/>
        <v>32797.08</v>
      </c>
      <c r="F76" s="920">
        <f t="shared" si="2"/>
        <v>4919.5600000000004</v>
      </c>
      <c r="G76" s="192">
        <f t="shared" si="3"/>
        <v>737.93400000000008</v>
      </c>
    </row>
    <row r="77" spans="1:8">
      <c r="A77" s="444">
        <v>41</v>
      </c>
      <c r="B77" s="193">
        <f>+'Statens skalatrin'!N126</f>
        <v>354249.23</v>
      </c>
      <c r="C77" s="663">
        <f t="shared" si="0"/>
        <v>29520.77</v>
      </c>
      <c r="D77" s="661">
        <f>ROUND(B77*(1+'Løntabel gældende fra'!$D$7/100),0)</f>
        <v>401755</v>
      </c>
      <c r="E77" s="929">
        <f t="shared" si="1"/>
        <v>33479.58</v>
      </c>
      <c r="F77" s="920">
        <f t="shared" si="2"/>
        <v>5021.9399999999996</v>
      </c>
      <c r="G77" s="192">
        <f t="shared" si="3"/>
        <v>753.29099999999994</v>
      </c>
    </row>
    <row r="78" spans="1:8">
      <c r="A78" s="444">
        <v>42</v>
      </c>
      <c r="B78" s="193">
        <f>+'Statens skalatrin'!N129</f>
        <v>361659.2</v>
      </c>
      <c r="C78" s="663">
        <f t="shared" si="0"/>
        <v>30138.27</v>
      </c>
      <c r="D78" s="661">
        <f>ROUND(B78*(1+'Løntabel gældende fra'!$D$7/100),0)</f>
        <v>410159</v>
      </c>
      <c r="E78" s="929">
        <f t="shared" si="1"/>
        <v>34179.919999999998</v>
      </c>
      <c r="F78" s="920">
        <f t="shared" si="2"/>
        <v>5126.99</v>
      </c>
      <c r="G78" s="192">
        <f t="shared" si="3"/>
        <v>769.04849999999999</v>
      </c>
    </row>
    <row r="79" spans="1:8">
      <c r="A79" s="444">
        <v>43</v>
      </c>
      <c r="B79" s="193">
        <f>+'Statens skalatrin'!N132</f>
        <v>369688.53</v>
      </c>
      <c r="C79" s="663">
        <f t="shared" si="0"/>
        <v>30807.38</v>
      </c>
      <c r="D79" s="661">
        <f>ROUND(B79*(1+'Løntabel gældende fra'!$D$7/100),0)</f>
        <v>419265</v>
      </c>
      <c r="E79" s="929">
        <f t="shared" si="1"/>
        <v>34938.75</v>
      </c>
      <c r="F79" s="920">
        <f t="shared" si="2"/>
        <v>5240.8100000000004</v>
      </c>
      <c r="G79" s="192">
        <f t="shared" si="3"/>
        <v>786.12150000000008</v>
      </c>
    </row>
    <row r="80" spans="1:8">
      <c r="A80" s="444">
        <v>44</v>
      </c>
      <c r="B80" s="193">
        <f>+'Statens skalatrin'!N135</f>
        <v>377937.3</v>
      </c>
      <c r="C80" s="663">
        <f t="shared" si="0"/>
        <v>31494.78</v>
      </c>
      <c r="D80" s="661">
        <f>ROUND(B80*(1+'Løntabel gældende fra'!$D$7/100),0)</f>
        <v>428620</v>
      </c>
      <c r="E80" s="929">
        <f t="shared" si="1"/>
        <v>35718.33</v>
      </c>
      <c r="F80" s="920">
        <f t="shared" si="2"/>
        <v>5357.75</v>
      </c>
      <c r="G80" s="192">
        <f t="shared" si="3"/>
        <v>803.66250000000002</v>
      </c>
      <c r="H80" s="79"/>
    </row>
    <row r="81" spans="1:8" s="79" customFormat="1">
      <c r="A81" s="444">
        <v>45</v>
      </c>
      <c r="B81" s="193">
        <f>+'Statens skalatrin'!N138</f>
        <v>386414.29</v>
      </c>
      <c r="C81" s="663">
        <f t="shared" si="0"/>
        <v>32201.19</v>
      </c>
      <c r="D81" s="661">
        <f>ROUND(B81*(1+'Løntabel gældende fra'!$D$7/100),0)</f>
        <v>438234</v>
      </c>
      <c r="E81" s="929">
        <f t="shared" si="1"/>
        <v>36519.5</v>
      </c>
      <c r="F81" s="920">
        <f t="shared" si="2"/>
        <v>5477.93</v>
      </c>
      <c r="G81" s="192">
        <f t="shared" si="3"/>
        <v>821.68950000000007</v>
      </c>
    </row>
    <row r="82" spans="1:8" s="79" customFormat="1">
      <c r="A82" s="444">
        <v>46</v>
      </c>
      <c r="B82" s="193">
        <f>+'Statens skalatrin'!N141</f>
        <v>395124.74</v>
      </c>
      <c r="C82" s="663">
        <f t="shared" si="0"/>
        <v>32927.06</v>
      </c>
      <c r="D82" s="661">
        <f>ROUND(B82*(1+'Løntabel gældende fra'!$D$7/100),0)</f>
        <v>448113</v>
      </c>
      <c r="E82" s="929">
        <f t="shared" si="1"/>
        <v>37342.75</v>
      </c>
      <c r="F82" s="920">
        <f t="shared" si="2"/>
        <v>5601.41</v>
      </c>
      <c r="G82" s="192">
        <f t="shared" si="3"/>
        <v>840.2115</v>
      </c>
    </row>
    <row r="83" spans="1:8" s="79" customFormat="1">
      <c r="A83" s="444">
        <v>47</v>
      </c>
      <c r="B83" s="193">
        <f>+'Statens skalatrin'!N144</f>
        <v>413268.87</v>
      </c>
      <c r="C83" s="663">
        <f t="shared" si="0"/>
        <v>34439.07</v>
      </c>
      <c r="D83" s="661">
        <f>ROUND(B83*(1+'Løntabel gældende fra'!$D$7/100),0)</f>
        <v>468690</v>
      </c>
      <c r="E83" s="929">
        <f t="shared" si="1"/>
        <v>39057.5</v>
      </c>
      <c r="F83" s="920">
        <f t="shared" si="2"/>
        <v>5858.63</v>
      </c>
      <c r="G83" s="192">
        <f t="shared" si="3"/>
        <v>878.79449999999997</v>
      </c>
      <c r="H83" s="27"/>
    </row>
    <row r="84" spans="1:8" s="27" customFormat="1">
      <c r="A84" s="444">
        <v>48</v>
      </c>
      <c r="B84" s="193">
        <f>+'Statens skalatrin'!N147</f>
        <v>441025.75</v>
      </c>
      <c r="C84" s="663">
        <f t="shared" si="0"/>
        <v>36752.15</v>
      </c>
      <c r="D84" s="661">
        <f>ROUND(B84*(1+'Løntabel gældende fra'!$D$7/100),0)</f>
        <v>500169</v>
      </c>
      <c r="E84" s="929">
        <f t="shared" si="1"/>
        <v>41680.75</v>
      </c>
      <c r="F84" s="920">
        <f t="shared" si="2"/>
        <v>6252.11</v>
      </c>
      <c r="G84" s="192">
        <f t="shared" si="3"/>
        <v>937.81649999999991</v>
      </c>
    </row>
    <row r="85" spans="1:8" s="27" customFormat="1" ht="15" customHeight="1">
      <c r="A85" s="444">
        <v>49</v>
      </c>
      <c r="B85" s="193">
        <f>+'Statens skalatrin'!N150</f>
        <v>471780.9</v>
      </c>
      <c r="C85" s="663">
        <f t="shared" si="0"/>
        <v>39315.08</v>
      </c>
      <c r="D85" s="661">
        <f>ROUND(B85*(1+'Løntabel gældende fra'!$D$7/100),0)</f>
        <v>535049</v>
      </c>
      <c r="E85" s="929">
        <f t="shared" si="1"/>
        <v>44587.42</v>
      </c>
      <c r="F85" s="920">
        <f t="shared" si="2"/>
        <v>6688.11</v>
      </c>
      <c r="G85" s="192">
        <f t="shared" si="3"/>
        <v>1003.2164999999999</v>
      </c>
      <c r="H85" s="2"/>
    </row>
    <row r="86" spans="1:8" ht="16" customHeight="1" thickBot="1">
      <c r="A86" s="381">
        <v>50</v>
      </c>
      <c r="B86" s="172">
        <f>+'Statens skalatrin'!N153</f>
        <v>521094.47</v>
      </c>
      <c r="C86" s="664">
        <f t="shared" si="0"/>
        <v>43424.54</v>
      </c>
      <c r="D86" s="662">
        <f>ROUND(B86*(1+'Løntabel gældende fra'!$D$7/100),0)</f>
        <v>590975</v>
      </c>
      <c r="E86" s="930">
        <f t="shared" si="1"/>
        <v>49247.92</v>
      </c>
      <c r="F86" s="921">
        <f t="shared" si="2"/>
        <v>7387.19</v>
      </c>
      <c r="G86" s="375">
        <f t="shared" si="3"/>
        <v>1108.0784999999998</v>
      </c>
      <c r="H86" s="79"/>
    </row>
    <row r="87" spans="1:8" s="79" customFormat="1" ht="57" customHeight="1">
      <c r="A87" s="1426" t="s">
        <v>248</v>
      </c>
      <c r="B87" s="1426"/>
      <c r="C87" s="1426"/>
      <c r="D87" s="1426"/>
      <c r="E87" s="1426"/>
      <c r="F87" s="1426"/>
      <c r="G87" s="1426"/>
    </row>
    <row r="88" spans="1:8" s="79" customFormat="1" ht="15" customHeight="1">
      <c r="A88" s="78"/>
      <c r="B88" s="78"/>
      <c r="C88" s="78"/>
      <c r="D88" s="78"/>
      <c r="E88" s="78"/>
      <c r="F88" s="78"/>
      <c r="G88" s="78"/>
      <c r="H88" s="2"/>
    </row>
    <row r="89" spans="1:8">
      <c r="A89" s="1362"/>
      <c r="B89" s="1362"/>
      <c r="C89" s="1362"/>
      <c r="D89" s="1362"/>
      <c r="E89" s="1362"/>
      <c r="F89" s="1362"/>
      <c r="G89" s="1362"/>
    </row>
    <row r="90" spans="1:8">
      <c r="A90" s="7"/>
      <c r="B90" s="7"/>
      <c r="C90" s="7"/>
      <c r="D90" s="7"/>
      <c r="E90" s="7"/>
      <c r="F90" s="7"/>
      <c r="G90" s="7"/>
    </row>
    <row r="91" spans="1:8">
      <c r="A91" s="7"/>
      <c r="B91" s="7"/>
      <c r="C91" s="7"/>
      <c r="D91" s="7"/>
      <c r="E91" s="7"/>
      <c r="F91" s="7"/>
      <c r="G91" s="7"/>
    </row>
    <row r="92" spans="1:8">
      <c r="A92" s="7"/>
      <c r="B92" s="7"/>
      <c r="C92" s="7"/>
      <c r="D92" s="7"/>
      <c r="E92" s="7"/>
      <c r="F92" s="7"/>
      <c r="G92" s="7"/>
    </row>
    <row r="93" spans="1:8">
      <c r="A93" s="7"/>
      <c r="B93" s="7"/>
      <c r="C93" s="7"/>
      <c r="D93" s="7"/>
      <c r="E93" s="7"/>
      <c r="F93" s="7"/>
      <c r="G93" s="7"/>
    </row>
    <row r="94" spans="1:8">
      <c r="A94" s="7"/>
      <c r="B94" s="7"/>
      <c r="C94" s="7"/>
      <c r="D94" s="7"/>
      <c r="E94" s="7"/>
      <c r="F94" s="7"/>
      <c r="G94" s="7"/>
    </row>
    <row r="95" spans="1:8">
      <c r="A95" s="7"/>
      <c r="B95" s="7"/>
      <c r="C95" s="7"/>
      <c r="D95" s="7"/>
      <c r="E95" s="7"/>
      <c r="F95" s="7"/>
      <c r="G95" s="7"/>
    </row>
    <row r="96" spans="1:8">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7"/>
      <c r="B113" s="7"/>
      <c r="C113" s="7"/>
      <c r="D113" s="7"/>
      <c r="E113" s="7"/>
      <c r="F113" s="7"/>
      <c r="G113" s="7"/>
    </row>
    <row r="114" spans="1:7">
      <c r="A114" s="7"/>
      <c r="B114" s="7"/>
      <c r="C114" s="7"/>
      <c r="D114" s="7"/>
      <c r="E114" s="7"/>
      <c r="F114" s="7"/>
      <c r="G114" s="7"/>
    </row>
    <row r="115" spans="1:7">
      <c r="A115" s="7"/>
      <c r="B115" s="7"/>
      <c r="C115" s="7"/>
      <c r="D115" s="7"/>
      <c r="E115" s="7"/>
      <c r="F115" s="7"/>
      <c r="G115" s="7"/>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sheetData>
  <sheetProtection sheet="1" objects="1" scenarios="1"/>
  <mergeCells count="69">
    <mergeCell ref="A87:G87"/>
    <mergeCell ref="A47:G47"/>
    <mergeCell ref="A48:G48"/>
    <mergeCell ref="A52:G52"/>
    <mergeCell ref="B54:G54"/>
    <mergeCell ref="A54:A56"/>
    <mergeCell ref="A59:A61"/>
    <mergeCell ref="B59:G59"/>
    <mergeCell ref="G64:G65"/>
    <mergeCell ref="A64:A66"/>
    <mergeCell ref="B64:C64"/>
    <mergeCell ref="D64:E64"/>
    <mergeCell ref="D65:E65"/>
    <mergeCell ref="B61:G62"/>
    <mergeCell ref="B56:G57"/>
    <mergeCell ref="A50:F50"/>
    <mergeCell ref="B45:G45"/>
    <mergeCell ref="B44:D44"/>
    <mergeCell ref="A37:B37"/>
    <mergeCell ref="A38:B38"/>
    <mergeCell ref="C37:D37"/>
    <mergeCell ref="C38:D38"/>
    <mergeCell ref="A41:G41"/>
    <mergeCell ref="A42:A44"/>
    <mergeCell ref="B42:D43"/>
    <mergeCell ref="E37:F37"/>
    <mergeCell ref="E38:F38"/>
    <mergeCell ref="A39:E39"/>
    <mergeCell ref="A4:F5"/>
    <mergeCell ref="C8:D8"/>
    <mergeCell ref="E8:F8"/>
    <mergeCell ref="C36:D36"/>
    <mergeCell ref="A13:B13"/>
    <mergeCell ref="A36:B36"/>
    <mergeCell ref="A10:B10"/>
    <mergeCell ref="C35:D35"/>
    <mergeCell ref="A12:B12"/>
    <mergeCell ref="N4:P4"/>
    <mergeCell ref="A89:G89"/>
    <mergeCell ref="C34:D34"/>
    <mergeCell ref="E36:F36"/>
    <mergeCell ref="A31:F32"/>
    <mergeCell ref="N30:P30"/>
    <mergeCell ref="N31:P31"/>
    <mergeCell ref="A15:F16"/>
    <mergeCell ref="C18:D18"/>
    <mergeCell ref="E20:F20"/>
    <mergeCell ref="A11:B11"/>
    <mergeCell ref="C9:D9"/>
    <mergeCell ref="E9:F9"/>
    <mergeCell ref="A49:F49"/>
    <mergeCell ref="A51:F51"/>
    <mergeCell ref="A7:B8"/>
    <mergeCell ref="A1:G1"/>
    <mergeCell ref="E35:F35"/>
    <mergeCell ref="A34:B35"/>
    <mergeCell ref="A17:F17"/>
    <mergeCell ref="C20:D20"/>
    <mergeCell ref="E18:F18"/>
    <mergeCell ref="C19:D19"/>
    <mergeCell ref="E19:F19"/>
    <mergeCell ref="A18:B19"/>
    <mergeCell ref="A33:F33"/>
    <mergeCell ref="E34:F34"/>
    <mergeCell ref="C7:D7"/>
    <mergeCell ref="E7:F7"/>
    <mergeCell ref="A9:B9"/>
    <mergeCell ref="A2:F2"/>
    <mergeCell ref="A6:F6"/>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5" max="6" man="1"/>
    <brk id="89" max="16383" man="1"/>
  </rowBreaks>
  <colBreaks count="1" manualBreakCount="1">
    <brk id="8" max="1048575" man="1"/>
  </colBreaks>
  <ignoredErrors>
    <ignoredError sqref="D67:D68 D69:D8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7"/>
  <sheetViews>
    <sheetView zoomScale="130" zoomScaleNormal="130" workbookViewId="0">
      <selection activeCell="A86" sqref="A86:G86"/>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31" customHeight="1">
      <c r="A1" s="1473" t="s">
        <v>390</v>
      </c>
      <c r="B1" s="1474"/>
      <c r="C1" s="1474"/>
      <c r="D1" s="1474"/>
      <c r="E1" s="1474"/>
      <c r="F1" s="1474"/>
      <c r="G1" s="1475"/>
      <c r="H1" s="713"/>
      <c r="I1" s="713"/>
    </row>
    <row r="2" spans="1:9" ht="20" customHeight="1" thickBot="1">
      <c r="A2" s="1292" t="str">
        <f>'Forside 1'!A6:I6</f>
        <v>Gældende fra 1. maj 2022</v>
      </c>
      <c r="B2" s="1293"/>
      <c r="C2" s="1293"/>
      <c r="D2" s="1293"/>
      <c r="E2" s="1293"/>
      <c r="F2" s="1293"/>
      <c r="G2" s="1294"/>
    </row>
    <row r="3" spans="1:9" s="27" customFormat="1" ht="11.25" customHeight="1" thickBot="1">
      <c r="A3" s="692"/>
      <c r="B3" s="692"/>
      <c r="C3" s="692"/>
      <c r="D3" s="692"/>
    </row>
    <row r="4" spans="1:9" s="693" customFormat="1" ht="21.75" customHeight="1" thickBot="1">
      <c r="A4" s="1602" t="s">
        <v>389</v>
      </c>
      <c r="B4" s="1603"/>
      <c r="C4" s="1603"/>
      <c r="D4" s="1603"/>
      <c r="E4" s="1603"/>
      <c r="F4" s="1603"/>
      <c r="G4" s="1604"/>
      <c r="H4" s="674"/>
    </row>
    <row r="5" spans="1:9" ht="8.25" customHeight="1" thickBot="1">
      <c r="A5" s="1605"/>
      <c r="B5" s="1605"/>
      <c r="C5" s="1605"/>
      <c r="D5" s="1605"/>
      <c r="E5" s="1605"/>
      <c r="F5" s="1605"/>
      <c r="G5" s="1605"/>
      <c r="H5" s="79"/>
    </row>
    <row r="6" spans="1:9" ht="16.5" customHeight="1">
      <c r="A6" s="1476" t="s">
        <v>259</v>
      </c>
      <c r="B6" s="1477"/>
      <c r="C6" s="1477"/>
      <c r="D6" s="1477"/>
      <c r="E6" s="1477"/>
      <c r="F6" s="1477"/>
      <c r="G6" s="1478"/>
      <c r="H6" s="219"/>
    </row>
    <row r="7" spans="1:9" ht="18.75" customHeight="1" thickBot="1">
      <c r="A7" s="1479" t="s">
        <v>391</v>
      </c>
      <c r="B7" s="1480"/>
      <c r="C7" s="1480"/>
      <c r="D7" s="1480"/>
      <c r="E7" s="1480"/>
      <c r="F7" s="1480"/>
      <c r="G7" s="1481"/>
      <c r="H7" s="714"/>
    </row>
    <row r="8" spans="1:9" ht="15" customHeight="1">
      <c r="A8" s="1503" t="s">
        <v>388</v>
      </c>
      <c r="B8" s="1448"/>
      <c r="C8" s="1471" t="s">
        <v>131</v>
      </c>
      <c r="D8" s="1447" t="s">
        <v>340</v>
      </c>
      <c r="E8" s="1447" t="s">
        <v>278</v>
      </c>
      <c r="F8" s="1438" t="s">
        <v>508</v>
      </c>
      <c r="G8" s="1439"/>
      <c r="H8" s="79"/>
    </row>
    <row r="9" spans="1:9" ht="28" customHeight="1">
      <c r="A9" s="1504"/>
      <c r="B9" s="1450"/>
      <c r="C9" s="1472"/>
      <c r="D9" s="1449"/>
      <c r="E9" s="1449"/>
      <c r="F9" s="1440"/>
      <c r="G9" s="1441"/>
    </row>
    <row r="10" spans="1:9" ht="16" thickBot="1">
      <c r="A10" s="1505"/>
      <c r="B10" s="1446"/>
      <c r="C10" s="750">
        <v>40999</v>
      </c>
      <c r="D10" s="716" t="str">
        <f>'Løntabel gældende fra'!$D$1</f>
        <v>01/04/2022</v>
      </c>
      <c r="E10" s="716" t="str">
        <f>'Løntabel gældende fra'!$D$1</f>
        <v>01/04/2022</v>
      </c>
      <c r="F10" s="1444" t="s">
        <v>355</v>
      </c>
      <c r="G10" s="1437"/>
    </row>
    <row r="11" spans="1:9">
      <c r="A11" s="1396">
        <v>1</v>
      </c>
      <c r="B11" s="1397"/>
      <c r="C11" s="931">
        <v>285240</v>
      </c>
      <c r="D11" s="932">
        <f>ROUND(C11*(1+'Løntabel gældende fra'!$D$7/100),2)</f>
        <v>323491.82</v>
      </c>
      <c r="E11" s="932">
        <f>ROUND(D11/12,2)</f>
        <v>26957.65</v>
      </c>
      <c r="F11" s="1462">
        <f>ROUND(E11*0.168,2)</f>
        <v>4528.8900000000003</v>
      </c>
      <c r="G11" s="1148"/>
    </row>
    <row r="12" spans="1:9">
      <c r="A12" s="1398">
        <v>2</v>
      </c>
      <c r="B12" s="1399"/>
      <c r="C12" s="933">
        <v>285240</v>
      </c>
      <c r="D12" s="715">
        <f>ROUND(C12*(1+'Løntabel gældende fra'!$D$7/100),2)</f>
        <v>323491.82</v>
      </c>
      <c r="E12" s="715">
        <f t="shared" ref="E12:E15" si="0">ROUND(D12/12,2)</f>
        <v>26957.65</v>
      </c>
      <c r="F12" s="1463">
        <f t="shared" ref="F12:F15" si="1">ROUND(E12*0.168,2)</f>
        <v>4528.8900000000003</v>
      </c>
      <c r="G12" s="1195"/>
    </row>
    <row r="13" spans="1:9">
      <c r="A13" s="1398">
        <v>3</v>
      </c>
      <c r="B13" s="1399"/>
      <c r="C13" s="933">
        <v>307417</v>
      </c>
      <c r="D13" s="715">
        <f>ROUND(C13*(1+'Løntabel gældende fra'!$D$7/100),2)</f>
        <v>348642.85</v>
      </c>
      <c r="E13" s="715">
        <f t="shared" si="0"/>
        <v>29053.57</v>
      </c>
      <c r="F13" s="1463">
        <f t="shared" si="1"/>
        <v>4881</v>
      </c>
      <c r="G13" s="1195"/>
    </row>
    <row r="14" spans="1:9">
      <c r="A14" s="1398">
        <v>4</v>
      </c>
      <c r="B14" s="1399"/>
      <c r="C14" s="933">
        <v>327643</v>
      </c>
      <c r="D14" s="715">
        <f>ROUND(C14*(1+'Løntabel gældende fra'!$D$7/100),2)</f>
        <v>371581.24</v>
      </c>
      <c r="E14" s="715">
        <f t="shared" si="0"/>
        <v>30965.1</v>
      </c>
      <c r="F14" s="1463">
        <f t="shared" si="1"/>
        <v>5202.1400000000003</v>
      </c>
      <c r="G14" s="1195"/>
    </row>
    <row r="15" spans="1:9" ht="15" thickBot="1">
      <c r="A15" s="1392">
        <v>5</v>
      </c>
      <c r="B15" s="1393"/>
      <c r="C15" s="934">
        <v>347571</v>
      </c>
      <c r="D15" s="935">
        <f>ROUND(C15*(1+'Løntabel gældende fra'!$D$7/100),2)</f>
        <v>394181.66</v>
      </c>
      <c r="E15" s="935">
        <f t="shared" si="0"/>
        <v>32848.47</v>
      </c>
      <c r="F15" s="1464">
        <f t="shared" si="1"/>
        <v>5518.54</v>
      </c>
      <c r="G15" s="1465"/>
    </row>
    <row r="16" spans="1:9">
      <c r="A16" s="1611" t="s">
        <v>419</v>
      </c>
      <c r="B16" s="1611"/>
      <c r="C16" s="1611"/>
      <c r="D16" s="1611"/>
      <c r="E16" s="1611"/>
      <c r="F16" s="1611"/>
      <c r="G16" s="1611"/>
      <c r="H16" s="1611"/>
    </row>
    <row r="17" spans="1:9" ht="15" thickBot="1">
      <c r="I17" s="691"/>
    </row>
    <row r="18" spans="1:9" ht="15" thickBot="1">
      <c r="A18" s="1613" t="s">
        <v>429</v>
      </c>
      <c r="B18" s="1614"/>
      <c r="C18" s="1615"/>
      <c r="D18" s="1613" t="s">
        <v>409</v>
      </c>
      <c r="E18" s="1614"/>
      <c r="F18" s="1615"/>
      <c r="G18" s="689"/>
    </row>
    <row r="19" spans="1:9" ht="15" thickBot="1">
      <c r="A19" s="753" t="s">
        <v>410</v>
      </c>
      <c r="B19" s="1608" t="s">
        <v>96</v>
      </c>
      <c r="C19" s="1609"/>
      <c r="D19" s="753" t="s">
        <v>410</v>
      </c>
      <c r="E19" s="1608" t="s">
        <v>96</v>
      </c>
      <c r="F19" s="1610"/>
      <c r="G19" s="689"/>
    </row>
    <row r="20" spans="1:9" ht="15.75" customHeight="1">
      <c r="A20" s="754">
        <v>2</v>
      </c>
      <c r="B20" s="1606" t="s">
        <v>411</v>
      </c>
      <c r="C20" s="1612"/>
      <c r="D20" s="754">
        <v>1</v>
      </c>
      <c r="E20" s="1606" t="s">
        <v>414</v>
      </c>
      <c r="F20" s="1607"/>
      <c r="G20" s="689"/>
    </row>
    <row r="21" spans="1:9">
      <c r="A21" s="755">
        <v>4</v>
      </c>
      <c r="B21" s="1574" t="s">
        <v>412</v>
      </c>
      <c r="C21" s="1616"/>
      <c r="D21" s="755">
        <v>3</v>
      </c>
      <c r="E21" s="1574" t="s">
        <v>415</v>
      </c>
      <c r="F21" s="1575"/>
      <c r="G21" s="689"/>
    </row>
    <row r="22" spans="1:9" ht="15" thickBot="1">
      <c r="A22" s="756">
        <v>5</v>
      </c>
      <c r="B22" s="1521" t="s">
        <v>413</v>
      </c>
      <c r="C22" s="1576"/>
      <c r="D22" s="756">
        <v>5</v>
      </c>
      <c r="E22" s="1521" t="s">
        <v>416</v>
      </c>
      <c r="F22" s="1522"/>
      <c r="G22" s="689"/>
    </row>
    <row r="23" spans="1:9" ht="14" customHeight="1" thickBot="1">
      <c r="A23" s="688"/>
      <c r="B23" s="688"/>
      <c r="C23" s="689"/>
      <c r="D23" s="689"/>
      <c r="E23" s="690"/>
      <c r="F23" s="668"/>
      <c r="G23" s="668"/>
    </row>
    <row r="24" spans="1:9" ht="22.5" customHeight="1">
      <c r="A24" s="1476" t="s">
        <v>387</v>
      </c>
      <c r="B24" s="1477"/>
      <c r="C24" s="1477"/>
      <c r="D24" s="1477"/>
      <c r="E24" s="1477"/>
      <c r="F24" s="1477"/>
      <c r="G24" s="1478"/>
    </row>
    <row r="25" spans="1:9" ht="20.25" customHeight="1" thickBot="1">
      <c r="A25" s="1479" t="s">
        <v>391</v>
      </c>
      <c r="B25" s="1480"/>
      <c r="C25" s="1480"/>
      <c r="D25" s="1480"/>
      <c r="E25" s="1480"/>
      <c r="F25" s="1480"/>
      <c r="G25" s="1481"/>
    </row>
    <row r="26" spans="1:9" ht="15.75" customHeight="1">
      <c r="A26" s="1503" t="s">
        <v>94</v>
      </c>
      <c r="B26" s="1448"/>
      <c r="C26" s="1471" t="s">
        <v>131</v>
      </c>
      <c r="D26" s="1447" t="s">
        <v>340</v>
      </c>
      <c r="E26" s="1447" t="s">
        <v>278</v>
      </c>
      <c r="F26" s="1438" t="str">
        <f>F8</f>
        <v>Pensionsbidrag til AkedemikerPension</v>
      </c>
      <c r="G26" s="1439"/>
    </row>
    <row r="27" spans="1:9" ht="15" customHeight="1">
      <c r="A27" s="1504"/>
      <c r="B27" s="1450"/>
      <c r="C27" s="1472"/>
      <c r="D27" s="1449"/>
      <c r="E27" s="1449"/>
      <c r="F27" s="1440"/>
      <c r="G27" s="1441"/>
    </row>
    <row r="28" spans="1:9" ht="16" thickBot="1">
      <c r="A28" s="1436"/>
      <c r="B28" s="1437"/>
      <c r="C28" s="750">
        <v>40999</v>
      </c>
      <c r="D28" s="716" t="str">
        <f>'Løntabel gældende fra'!$D$1</f>
        <v>01/04/2022</v>
      </c>
      <c r="E28" s="716" t="str">
        <f>'Løntabel gældende fra'!$D$1</f>
        <v>01/04/2022</v>
      </c>
      <c r="F28" s="1442">
        <v>0.16800000000000001</v>
      </c>
      <c r="G28" s="1443"/>
    </row>
    <row r="29" spans="1:9">
      <c r="A29" s="1523" t="s">
        <v>386</v>
      </c>
      <c r="B29" s="1524"/>
      <c r="C29" s="936">
        <v>38000</v>
      </c>
      <c r="D29" s="937">
        <f>ROUND(C29*(1+'Løntabel gældende fra'!$D$7/100),2)</f>
        <v>43095.95</v>
      </c>
      <c r="E29" s="937">
        <f>ROUND(D29/12,2)</f>
        <v>3591.33</v>
      </c>
      <c r="F29" s="1492">
        <f>ROUND(E29*0.168,2)</f>
        <v>603.34</v>
      </c>
      <c r="G29" s="1493"/>
    </row>
    <row r="30" spans="1:9" ht="14.25" customHeight="1">
      <c r="A30" s="1398" t="s">
        <v>385</v>
      </c>
      <c r="B30" s="1399"/>
      <c r="C30" s="938">
        <v>38000</v>
      </c>
      <c r="D30" s="719">
        <f>ROUND(C30*(1+'Løntabel gældende fra'!$D$7/100),2)</f>
        <v>43095.95</v>
      </c>
      <c r="E30" s="719">
        <f t="shared" ref="E30:E35" si="2">ROUND(D30/12,2)</f>
        <v>3591.33</v>
      </c>
      <c r="F30" s="1494">
        <f t="shared" ref="F30:F35" si="3">ROUND(E30*0.168,2)</f>
        <v>603.34</v>
      </c>
      <c r="G30" s="1495"/>
    </row>
    <row r="31" spans="1:9">
      <c r="A31" s="1398" t="s">
        <v>384</v>
      </c>
      <c r="B31" s="1399"/>
      <c r="C31" s="938">
        <v>50000</v>
      </c>
      <c r="D31" s="719">
        <f>ROUND(C31*(1+'Løntabel gældende fra'!$D$7/100),2)</f>
        <v>56705.2</v>
      </c>
      <c r="E31" s="719">
        <f t="shared" si="2"/>
        <v>4725.43</v>
      </c>
      <c r="F31" s="1494">
        <f t="shared" si="3"/>
        <v>793.87</v>
      </c>
      <c r="G31" s="1495"/>
    </row>
    <row r="32" spans="1:9">
      <c r="A32" s="1398" t="s">
        <v>383</v>
      </c>
      <c r="B32" s="1399"/>
      <c r="C32" s="938">
        <v>50000</v>
      </c>
      <c r="D32" s="719">
        <f>ROUND(C32*(1+'Løntabel gældende fra'!$D$7/100),2)</f>
        <v>56705.2</v>
      </c>
      <c r="E32" s="719">
        <f t="shared" si="2"/>
        <v>4725.43</v>
      </c>
      <c r="F32" s="1494">
        <f t="shared" si="3"/>
        <v>793.87</v>
      </c>
      <c r="G32" s="1495"/>
    </row>
    <row r="33" spans="1:7" ht="15" customHeight="1">
      <c r="A33" s="1374" t="s">
        <v>382</v>
      </c>
      <c r="B33" s="1375"/>
      <c r="C33" s="938">
        <v>50000</v>
      </c>
      <c r="D33" s="719">
        <f>ROUND(C33*(1+'Løntabel gældende fra'!$D$7/100),2)</f>
        <v>56705.2</v>
      </c>
      <c r="E33" s="719">
        <f t="shared" si="2"/>
        <v>4725.43</v>
      </c>
      <c r="F33" s="1494">
        <f t="shared" si="3"/>
        <v>793.87</v>
      </c>
      <c r="G33" s="1495"/>
    </row>
    <row r="34" spans="1:7" ht="15.75" customHeight="1">
      <c r="A34" s="1398" t="s">
        <v>408</v>
      </c>
      <c r="B34" s="1399"/>
      <c r="C34" s="938">
        <v>50000</v>
      </c>
      <c r="D34" s="719">
        <f>ROUND(C34*(1+'Løntabel gældende fra'!$D$7/100),2)</f>
        <v>56705.2</v>
      </c>
      <c r="E34" s="719">
        <f t="shared" si="2"/>
        <v>4725.43</v>
      </c>
      <c r="F34" s="1494">
        <f t="shared" si="3"/>
        <v>793.87</v>
      </c>
      <c r="G34" s="1495"/>
    </row>
    <row r="35" spans="1:7" ht="15.75" customHeight="1" thickBot="1">
      <c r="A35" s="1505" t="s">
        <v>381</v>
      </c>
      <c r="B35" s="1446"/>
      <c r="C35" s="939">
        <v>72500</v>
      </c>
      <c r="D35" s="940">
        <f>ROUND(C35*(1+'Løntabel gældende fra'!$D$7/100),2)</f>
        <v>82222.539999999994</v>
      </c>
      <c r="E35" s="940">
        <f t="shared" si="2"/>
        <v>6851.88</v>
      </c>
      <c r="F35" s="1496">
        <f t="shared" si="3"/>
        <v>1151.1199999999999</v>
      </c>
      <c r="G35" s="1497"/>
    </row>
    <row r="36" spans="1:7" ht="15.75" customHeight="1" thickBot="1">
      <c r="A36" s="687"/>
      <c r="B36" s="687"/>
      <c r="C36" s="687"/>
      <c r="D36" s="687"/>
      <c r="E36" s="687"/>
      <c r="F36" s="687"/>
      <c r="G36" s="687"/>
    </row>
    <row r="37" spans="1:7" ht="19.5" customHeight="1">
      <c r="A37" s="1151" t="s">
        <v>393</v>
      </c>
      <c r="B37" s="1289"/>
      <c r="C37" s="1289"/>
      <c r="D37" s="1289"/>
      <c r="E37" s="1289"/>
      <c r="F37" s="1289"/>
      <c r="G37" s="1290"/>
    </row>
    <row r="38" spans="1:7" ht="14" customHeight="1">
      <c r="A38" s="1486" t="s">
        <v>392</v>
      </c>
      <c r="B38" s="1487"/>
      <c r="C38" s="1487"/>
      <c r="D38" s="1487"/>
      <c r="E38" s="1487"/>
      <c r="F38" s="1487"/>
      <c r="G38" s="1488"/>
    </row>
    <row r="39" spans="1:7" ht="18" customHeight="1" thickBot="1">
      <c r="A39" s="1489"/>
      <c r="B39" s="1490"/>
      <c r="C39" s="1490"/>
      <c r="D39" s="1490"/>
      <c r="E39" s="1490"/>
      <c r="F39" s="1490"/>
      <c r="G39" s="1491"/>
    </row>
    <row r="40" spans="1:7" ht="19.5" customHeight="1" thickBot="1">
      <c r="A40" s="1483" t="s">
        <v>380</v>
      </c>
      <c r="B40" s="1484"/>
      <c r="C40" s="1484"/>
      <c r="D40" s="1484"/>
      <c r="E40" s="1484"/>
      <c r="F40" s="1484"/>
      <c r="G40" s="1485"/>
    </row>
    <row r="41" spans="1:7">
      <c r="A41" s="1510" t="s">
        <v>378</v>
      </c>
      <c r="B41" s="1511"/>
      <c r="C41" s="1511"/>
      <c r="D41" s="1439"/>
      <c r="E41" s="1471" t="s">
        <v>131</v>
      </c>
      <c r="F41" s="1447" t="s">
        <v>340</v>
      </c>
      <c r="G41" s="1448" t="s">
        <v>278</v>
      </c>
    </row>
    <row r="42" spans="1:7">
      <c r="A42" s="1512"/>
      <c r="B42" s="1513"/>
      <c r="C42" s="1513"/>
      <c r="D42" s="1514"/>
      <c r="E42" s="1472"/>
      <c r="F42" s="1449"/>
      <c r="G42" s="1450"/>
    </row>
    <row r="43" spans="1:7" ht="16" thickBot="1">
      <c r="A43" s="1515"/>
      <c r="B43" s="1516"/>
      <c r="C43" s="1516"/>
      <c r="D43" s="1517"/>
      <c r="E43" s="750">
        <v>40999</v>
      </c>
      <c r="F43" s="721" t="str">
        <f>'Løntabel gældende fra'!$D$1</f>
        <v>01/04/2022</v>
      </c>
      <c r="G43" s="785" t="str">
        <f>F43</f>
        <v>01/04/2022</v>
      </c>
    </row>
    <row r="44" spans="1:7">
      <c r="A44" s="1518">
        <v>-200</v>
      </c>
      <c r="B44" s="1519"/>
      <c r="C44" s="1519"/>
      <c r="D44" s="1520"/>
      <c r="E44" s="717">
        <v>18200</v>
      </c>
      <c r="F44" s="715">
        <f>ROUND(E44*(1+'Løntabel gældende fra'!$D$7/100),2)</f>
        <v>20640.689999999999</v>
      </c>
      <c r="G44" s="404">
        <f>ROUND(F44/12,2)</f>
        <v>1720.06</v>
      </c>
    </row>
    <row r="45" spans="1:7">
      <c r="A45" s="1547" t="s">
        <v>377</v>
      </c>
      <c r="B45" s="1548"/>
      <c r="C45" s="1548"/>
      <c r="D45" s="1549"/>
      <c r="E45" s="684">
        <v>33300</v>
      </c>
      <c r="F45" s="715">
        <f>ROUND(E45*(1+'Løntabel gældende fra'!$D$7/100),2)</f>
        <v>37765.660000000003</v>
      </c>
      <c r="G45" s="404">
        <f t="shared" ref="G45:G48" si="4">ROUND(F45/12,2)</f>
        <v>3147.14</v>
      </c>
    </row>
    <row r="46" spans="1:7">
      <c r="A46" s="1547" t="s">
        <v>376</v>
      </c>
      <c r="B46" s="1548"/>
      <c r="C46" s="1548"/>
      <c r="D46" s="1549"/>
      <c r="E46" s="684">
        <v>44000</v>
      </c>
      <c r="F46" s="715">
        <f>ROUND(E46*(1+'Løntabel gældende fra'!$D$7/100),2)</f>
        <v>49900.58</v>
      </c>
      <c r="G46" s="404">
        <f t="shared" si="4"/>
        <v>4158.38</v>
      </c>
    </row>
    <row r="47" spans="1:7" ht="14" customHeight="1">
      <c r="A47" s="1547" t="s">
        <v>375</v>
      </c>
      <c r="B47" s="1548"/>
      <c r="C47" s="1548"/>
      <c r="D47" s="1549"/>
      <c r="E47" s="684">
        <v>54700</v>
      </c>
      <c r="F47" s="715">
        <f>ROUND(E47*(1+'Løntabel gældende fra'!$D$7/100),2)</f>
        <v>62035.49</v>
      </c>
      <c r="G47" s="404">
        <f t="shared" si="4"/>
        <v>5169.62</v>
      </c>
    </row>
    <row r="48" spans="1:7" ht="15" thickBot="1">
      <c r="A48" s="1565" t="s">
        <v>374</v>
      </c>
      <c r="B48" s="1566"/>
      <c r="C48" s="1566"/>
      <c r="D48" s="1567"/>
      <c r="E48" s="686">
        <v>60700</v>
      </c>
      <c r="F48" s="715">
        <f>ROUND(E48*(1+'Løntabel gældende fra'!$D$7/100),2)</f>
        <v>68840.11</v>
      </c>
      <c r="G48" s="404">
        <f t="shared" si="4"/>
        <v>5736.68</v>
      </c>
    </row>
    <row r="49" spans="1:10" ht="22.5" customHeight="1" thickBot="1">
      <c r="A49" s="1483" t="s">
        <v>379</v>
      </c>
      <c r="B49" s="1484"/>
      <c r="C49" s="1484"/>
      <c r="D49" s="1484"/>
      <c r="E49" s="1484"/>
      <c r="F49" s="1484"/>
      <c r="G49" s="1485"/>
    </row>
    <row r="50" spans="1:10">
      <c r="A50" s="1510" t="s">
        <v>378</v>
      </c>
      <c r="B50" s="1511"/>
      <c r="C50" s="1511"/>
      <c r="D50" s="1439"/>
      <c r="E50" s="1559" t="s">
        <v>131</v>
      </c>
      <c r="F50" s="1561" t="s">
        <v>340</v>
      </c>
      <c r="G50" s="1563" t="s">
        <v>278</v>
      </c>
    </row>
    <row r="51" spans="1:10">
      <c r="A51" s="1512"/>
      <c r="B51" s="1513"/>
      <c r="C51" s="1513"/>
      <c r="D51" s="1514"/>
      <c r="E51" s="1560"/>
      <c r="F51" s="1562"/>
      <c r="G51" s="1564"/>
    </row>
    <row r="52" spans="1:10" ht="16" thickBot="1">
      <c r="A52" s="1515"/>
      <c r="B52" s="1516"/>
      <c r="C52" s="1516"/>
      <c r="D52" s="1517"/>
      <c r="E52" s="750">
        <v>40999</v>
      </c>
      <c r="F52" s="721" t="str">
        <f>'Løntabel gældende fra'!$D$1</f>
        <v>01/04/2022</v>
      </c>
      <c r="G52" s="785" t="str">
        <f>F52</f>
        <v>01/04/2022</v>
      </c>
      <c r="J52" s="668"/>
    </row>
    <row r="53" spans="1:10">
      <c r="A53" s="1518">
        <v>-200</v>
      </c>
      <c r="B53" s="1519"/>
      <c r="C53" s="1519"/>
      <c r="D53" s="1520"/>
      <c r="E53" s="717">
        <v>12500</v>
      </c>
      <c r="F53" s="715">
        <f>ROUND(E53*(1+'Løntabel gældende fra'!$D$7/100),2)</f>
        <v>14176.3</v>
      </c>
      <c r="G53" s="404">
        <f>ROUND(F53/12,2)</f>
        <v>1181.3599999999999</v>
      </c>
      <c r="J53" s="670"/>
    </row>
    <row r="54" spans="1:10" ht="14" customHeight="1">
      <c r="A54" s="1547" t="s">
        <v>377</v>
      </c>
      <c r="B54" s="1548"/>
      <c r="C54" s="1548"/>
      <c r="D54" s="1549"/>
      <c r="E54" s="684">
        <v>13600</v>
      </c>
      <c r="F54" s="715">
        <f>ROUND(E54*(1+'Løntabel gældende fra'!$D$7/100),2)</f>
        <v>15423.81</v>
      </c>
      <c r="G54" s="404">
        <f t="shared" ref="G54:G57" si="5">ROUND(F54/12,2)</f>
        <v>1285.32</v>
      </c>
    </row>
    <row r="55" spans="1:10" ht="15" customHeight="1">
      <c r="A55" s="1547" t="s">
        <v>376</v>
      </c>
      <c r="B55" s="1548"/>
      <c r="C55" s="1548"/>
      <c r="D55" s="1549"/>
      <c r="E55" s="684">
        <v>18200</v>
      </c>
      <c r="F55" s="715">
        <f>ROUND(E55*(1+'Løntabel gældende fra'!$D$7/100),2)</f>
        <v>20640.689999999999</v>
      </c>
      <c r="G55" s="404">
        <f t="shared" si="5"/>
        <v>1720.06</v>
      </c>
    </row>
    <row r="56" spans="1:10" ht="15" customHeight="1">
      <c r="A56" s="1547" t="s">
        <v>375</v>
      </c>
      <c r="B56" s="1548"/>
      <c r="C56" s="1548"/>
      <c r="D56" s="1549"/>
      <c r="E56" s="684">
        <v>25200</v>
      </c>
      <c r="F56" s="715">
        <f>ROUND(E56*(1+'Løntabel gældende fra'!$D$7/100),2)</f>
        <v>28579.42</v>
      </c>
      <c r="G56" s="404">
        <f t="shared" si="5"/>
        <v>2381.62</v>
      </c>
    </row>
    <row r="57" spans="1:10" ht="16.5" customHeight="1" thickBot="1">
      <c r="A57" s="1565" t="s">
        <v>374</v>
      </c>
      <c r="B57" s="1566"/>
      <c r="C57" s="1566"/>
      <c r="D57" s="1567"/>
      <c r="E57" s="686">
        <v>28000</v>
      </c>
      <c r="F57" s="715">
        <f>ROUND(E57*(1+'Løntabel gældende fra'!$D$7/100),2)</f>
        <v>31754.91</v>
      </c>
      <c r="G57" s="404">
        <f t="shared" si="5"/>
        <v>2646.24</v>
      </c>
    </row>
    <row r="58" spans="1:10" ht="15.75" customHeight="1" thickBot="1">
      <c r="A58" s="672"/>
      <c r="B58" s="672"/>
      <c r="C58" s="672"/>
      <c r="D58" s="672"/>
      <c r="E58" s="672"/>
      <c r="F58" s="672"/>
      <c r="G58" s="672"/>
    </row>
    <row r="59" spans="1:10" ht="17.25" customHeight="1">
      <c r="A59" s="1306" t="s">
        <v>373</v>
      </c>
      <c r="B59" s="1307"/>
      <c r="C59" s="1307"/>
      <c r="D59" s="1307"/>
      <c r="E59" s="1307"/>
      <c r="F59" s="1307"/>
      <c r="G59" s="1308"/>
    </row>
    <row r="60" spans="1:10" ht="17.25" customHeight="1" thickBot="1">
      <c r="A60" s="1320" t="s">
        <v>394</v>
      </c>
      <c r="B60" s="1321"/>
      <c r="C60" s="1321"/>
      <c r="D60" s="1321"/>
      <c r="E60" s="1321"/>
      <c r="F60" s="1321"/>
      <c r="G60" s="1322"/>
    </row>
    <row r="61" spans="1:10" ht="28" customHeight="1">
      <c r="A61" s="1503" t="s">
        <v>407</v>
      </c>
      <c r="B61" s="1447"/>
      <c r="C61" s="1448" t="s">
        <v>372</v>
      </c>
      <c r="D61" s="1471" t="s">
        <v>131</v>
      </c>
      <c r="E61" s="1447" t="s">
        <v>340</v>
      </c>
      <c r="F61" s="1466" t="s">
        <v>278</v>
      </c>
      <c r="G61" s="1501" t="s">
        <v>509</v>
      </c>
    </row>
    <row r="62" spans="1:10" ht="17.25" customHeight="1">
      <c r="A62" s="1504"/>
      <c r="B62" s="1449"/>
      <c r="C62" s="1450"/>
      <c r="D62" s="1472"/>
      <c r="E62" s="1449"/>
      <c r="F62" s="1467"/>
      <c r="G62" s="1502"/>
    </row>
    <row r="63" spans="1:10" ht="14" customHeight="1" thickBot="1">
      <c r="A63" s="1505"/>
      <c r="B63" s="1445"/>
      <c r="C63" s="1446"/>
      <c r="D63" s="749">
        <v>40999</v>
      </c>
      <c r="E63" s="721" t="str">
        <f>'Løntabel gældende fra'!$D$1</f>
        <v>01/04/2022</v>
      </c>
      <c r="F63" s="721" t="str">
        <f>E63</f>
        <v>01/04/2022</v>
      </c>
      <c r="G63" s="722">
        <v>0.16800000000000001</v>
      </c>
      <c r="H63" s="668"/>
    </row>
    <row r="64" spans="1:10" ht="14" customHeight="1">
      <c r="A64" s="1577" t="s">
        <v>371</v>
      </c>
      <c r="B64" s="1578"/>
      <c r="C64" s="724" t="s">
        <v>370</v>
      </c>
      <c r="D64" s="723">
        <v>4300</v>
      </c>
      <c r="E64" s="719">
        <f>ROUND(D64*(1+'Løntabel gældende fra'!$D$7/100),2)</f>
        <v>4876.6499999999996</v>
      </c>
      <c r="F64" s="719">
        <f>ROUND(E64/12,2)</f>
        <v>406.39</v>
      </c>
      <c r="G64" s="720">
        <f>ROUND(F64*0.168,2)</f>
        <v>68.27</v>
      </c>
    </row>
    <row r="65" spans="1:9" ht="14.5" customHeight="1">
      <c r="A65" s="1208" t="s">
        <v>367</v>
      </c>
      <c r="B65" s="1573"/>
      <c r="C65" s="725" t="s">
        <v>369</v>
      </c>
      <c r="D65" s="718">
        <v>6900</v>
      </c>
      <c r="E65" s="719">
        <f>ROUND(D65*(1+'Løntabel gældende fra'!$D$7/100),2)</f>
        <v>7825.32</v>
      </c>
      <c r="F65" s="719">
        <f t="shared" ref="F65:F69" si="6">ROUND(E65/12,2)</f>
        <v>652.11</v>
      </c>
      <c r="G65" s="720">
        <f t="shared" ref="G65:G69" si="7">ROUND(F65*0.168,2)</f>
        <v>109.55</v>
      </c>
    </row>
    <row r="66" spans="1:9" ht="14" customHeight="1">
      <c r="A66" s="1208" t="s">
        <v>367</v>
      </c>
      <c r="B66" s="1573"/>
      <c r="C66" s="725" t="s">
        <v>368</v>
      </c>
      <c r="D66" s="684">
        <v>12600</v>
      </c>
      <c r="E66" s="719">
        <f>ROUND(D66*(1+'Løntabel gældende fra'!$D$7/100),2)</f>
        <v>14289.71</v>
      </c>
      <c r="F66" s="719">
        <f t="shared" si="6"/>
        <v>1190.81</v>
      </c>
      <c r="G66" s="720">
        <f t="shared" si="7"/>
        <v>200.06</v>
      </c>
    </row>
    <row r="67" spans="1:9" ht="15.75" customHeight="1">
      <c r="A67" s="1208" t="s">
        <v>367</v>
      </c>
      <c r="B67" s="1573"/>
      <c r="C67" s="725" t="s">
        <v>366</v>
      </c>
      <c r="D67" s="684">
        <v>19500</v>
      </c>
      <c r="E67" s="719">
        <f>ROUND(D67*(1+'Løntabel gældende fra'!$D$7/100),2)</f>
        <v>22115.03</v>
      </c>
      <c r="F67" s="719">
        <f t="shared" si="6"/>
        <v>1842.92</v>
      </c>
      <c r="G67" s="720">
        <f t="shared" si="7"/>
        <v>309.61</v>
      </c>
    </row>
    <row r="68" spans="1:9" ht="32.25" customHeight="1">
      <c r="A68" s="1208" t="s">
        <v>364</v>
      </c>
      <c r="B68" s="1573"/>
      <c r="C68" s="726" t="s">
        <v>365</v>
      </c>
      <c r="D68" s="718">
        <v>19500</v>
      </c>
      <c r="E68" s="719">
        <f>ROUND(D68*(1+'Løntabel gældende fra'!$D$7/100),2)</f>
        <v>22115.03</v>
      </c>
      <c r="F68" s="719">
        <f t="shared" si="6"/>
        <v>1842.92</v>
      </c>
      <c r="G68" s="720">
        <f t="shared" si="7"/>
        <v>309.61</v>
      </c>
    </row>
    <row r="69" spans="1:9" ht="29.25" customHeight="1" thickBot="1">
      <c r="A69" s="1598" t="s">
        <v>364</v>
      </c>
      <c r="B69" s="1599"/>
      <c r="C69" s="727" t="s">
        <v>418</v>
      </c>
      <c r="D69" s="685">
        <v>39000</v>
      </c>
      <c r="E69" s="719">
        <f>ROUND(D69*(1+'Løntabel gældende fra'!$D$7/100),2)</f>
        <v>44230.06</v>
      </c>
      <c r="F69" s="719">
        <f t="shared" si="6"/>
        <v>3685.84</v>
      </c>
      <c r="G69" s="720">
        <f t="shared" si="7"/>
        <v>619.22</v>
      </c>
    </row>
    <row r="70" spans="1:9" ht="14" customHeight="1" thickBot="1">
      <c r="A70" s="673"/>
      <c r="B70" s="673"/>
      <c r="C70" s="673"/>
      <c r="D70" s="673"/>
      <c r="E70" s="673"/>
      <c r="F70" s="673"/>
      <c r="G70" s="673"/>
      <c r="H70" s="668"/>
      <c r="I70" s="668"/>
    </row>
    <row r="71" spans="1:9" ht="16.5" customHeight="1">
      <c r="A71" s="1306" t="s">
        <v>363</v>
      </c>
      <c r="B71" s="1307"/>
      <c r="C71" s="1307"/>
      <c r="D71" s="1307"/>
      <c r="E71" s="1307"/>
      <c r="F71" s="1307"/>
      <c r="G71" s="1308"/>
    </row>
    <row r="72" spans="1:9" ht="16" customHeight="1" thickBot="1">
      <c r="A72" s="1550" t="s">
        <v>395</v>
      </c>
      <c r="B72" s="1551"/>
      <c r="C72" s="1551"/>
      <c r="D72" s="1551"/>
      <c r="E72" s="1551"/>
      <c r="F72" s="1551"/>
      <c r="G72" s="1552"/>
    </row>
    <row r="73" spans="1:9" ht="16.5" customHeight="1">
      <c r="A73" s="1510" t="s">
        <v>131</v>
      </c>
      <c r="B73" s="1553"/>
      <c r="C73" s="1438" t="s">
        <v>340</v>
      </c>
      <c r="D73" s="1553"/>
      <c r="E73" s="1447" t="str">
        <f>F8</f>
        <v>Pensionsbidrag til AkedemikerPension</v>
      </c>
      <c r="F73" s="1447"/>
      <c r="G73" s="1448"/>
    </row>
    <row r="74" spans="1:9" ht="15" customHeight="1">
      <c r="A74" s="1554"/>
      <c r="B74" s="1555"/>
      <c r="C74" s="1440"/>
      <c r="D74" s="1555"/>
      <c r="E74" s="1449"/>
      <c r="F74" s="1449"/>
      <c r="G74" s="1450"/>
    </row>
    <row r="75" spans="1:9" ht="15" thickBot="1">
      <c r="A75" s="1506">
        <v>40999</v>
      </c>
      <c r="B75" s="1507"/>
      <c r="C75" s="1508" t="str">
        <f>'Løntabel gældende fra'!$D$1</f>
        <v>01/04/2022</v>
      </c>
      <c r="D75" s="1509"/>
      <c r="E75" s="1445" t="s">
        <v>355</v>
      </c>
      <c r="F75" s="1445"/>
      <c r="G75" s="1446"/>
    </row>
    <row r="76" spans="1:9" ht="21.75" customHeight="1" thickBot="1">
      <c r="A76" s="1468">
        <v>21900</v>
      </c>
      <c r="B76" s="1469"/>
      <c r="C76" s="1470">
        <f>ROUND(A76*(1+'Løntabel gældende fra'!$D$7/100),2)</f>
        <v>24836.880000000001</v>
      </c>
      <c r="D76" s="1469"/>
      <c r="E76" s="1464">
        <f>ROUND(C76*0.168,2)</f>
        <v>4172.6000000000004</v>
      </c>
      <c r="F76" s="1464"/>
      <c r="G76" s="1465"/>
    </row>
    <row r="77" spans="1:9" ht="16.5" customHeight="1">
      <c r="A77" s="7" t="s">
        <v>362</v>
      </c>
      <c r="B77" s="671"/>
      <c r="C77" s="671"/>
      <c r="D77" s="671"/>
      <c r="E77" s="671"/>
      <c r="F77" s="671"/>
      <c r="G77" s="671"/>
    </row>
    <row r="78" spans="1:9" ht="21" customHeight="1" thickBot="1">
      <c r="A78" s="14"/>
      <c r="B78" s="14"/>
      <c r="C78" s="14"/>
      <c r="D78" s="14"/>
      <c r="E78" s="14"/>
      <c r="F78" s="14"/>
      <c r="G78" s="14"/>
    </row>
    <row r="79" spans="1:9" ht="19.5" customHeight="1">
      <c r="A79" s="1635" t="s">
        <v>361</v>
      </c>
      <c r="B79" s="1636"/>
      <c r="C79" s="1636"/>
      <c r="D79" s="1636"/>
      <c r="E79" s="1636"/>
      <c r="F79" s="1636"/>
      <c r="G79" s="1637"/>
    </row>
    <row r="80" spans="1:9" ht="20.25" customHeight="1" thickBot="1">
      <c r="A80" s="1550" t="s">
        <v>396</v>
      </c>
      <c r="B80" s="1551"/>
      <c r="C80" s="1551"/>
      <c r="D80" s="1551"/>
      <c r="E80" s="1551"/>
      <c r="F80" s="1551"/>
      <c r="G80" s="1552"/>
    </row>
    <row r="81" spans="1:10" ht="12.75" customHeight="1">
      <c r="A81" s="1638" t="s">
        <v>131</v>
      </c>
      <c r="B81" s="1639"/>
      <c r="C81" s="1639"/>
      <c r="D81" s="1640"/>
      <c r="E81" s="1648" t="s">
        <v>340</v>
      </c>
      <c r="F81" s="1649"/>
      <c r="G81" s="1650"/>
    </row>
    <row r="82" spans="1:10" ht="11.25" customHeight="1">
      <c r="A82" s="1641"/>
      <c r="B82" s="1642"/>
      <c r="C82" s="1642"/>
      <c r="D82" s="1643"/>
      <c r="E82" s="1651"/>
      <c r="F82" s="1652"/>
      <c r="G82" s="1653"/>
    </row>
    <row r="83" spans="1:10" ht="12.75" customHeight="1" thickBot="1">
      <c r="A83" s="1644">
        <v>40999</v>
      </c>
      <c r="B83" s="1645"/>
      <c r="C83" s="1645"/>
      <c r="D83" s="1646"/>
      <c r="E83" s="1654" t="str">
        <f>'Løntabel gældende fra'!$D$1</f>
        <v>01/04/2022</v>
      </c>
      <c r="F83" s="1655"/>
      <c r="G83" s="1656"/>
      <c r="J83" s="669"/>
    </row>
    <row r="84" spans="1:10" ht="17.25" customHeight="1" thickBot="1">
      <c r="A84" s="1468">
        <v>8800</v>
      </c>
      <c r="B84" s="1647"/>
      <c r="C84" s="1647"/>
      <c r="D84" s="1469"/>
      <c r="E84" s="1470">
        <f>ROUND(A84*(1+'Løntabel gældende fra'!$D$7/100),2)</f>
        <v>9980.1200000000008</v>
      </c>
      <c r="F84" s="1647"/>
      <c r="G84" s="1657"/>
      <c r="J84" s="668"/>
    </row>
    <row r="85" spans="1:10" s="27" customFormat="1" ht="17.25" customHeight="1" thickBot="1">
      <c r="A85" s="236"/>
      <c r="B85" s="236"/>
      <c r="C85" s="236"/>
      <c r="D85" s="236"/>
      <c r="E85" s="236"/>
      <c r="F85" s="236"/>
      <c r="G85" s="236"/>
      <c r="J85" s="668"/>
    </row>
    <row r="86" spans="1:10" ht="21" customHeight="1" thickBot="1">
      <c r="A86" s="1579" t="s">
        <v>397</v>
      </c>
      <c r="B86" s="1580"/>
      <c r="C86" s="1580"/>
      <c r="D86" s="1580"/>
      <c r="E86" s="1580"/>
      <c r="F86" s="1580"/>
      <c r="G86" s="1581"/>
      <c r="J86" s="668"/>
    </row>
    <row r="87" spans="1:10" s="27" customFormat="1" ht="12.75" customHeight="1" thickBot="1">
      <c r="A87" s="681"/>
      <c r="B87" s="681"/>
      <c r="C87" s="681"/>
      <c r="D87" s="681"/>
      <c r="E87" s="681"/>
      <c r="F87" s="681"/>
      <c r="G87" s="681"/>
    </row>
    <row r="88" spans="1:10" ht="17.25" customHeight="1">
      <c r="A88" s="1582" t="s">
        <v>352</v>
      </c>
      <c r="B88" s="1583"/>
      <c r="C88" s="1583"/>
      <c r="D88" s="1583"/>
      <c r="E88" s="1583"/>
      <c r="F88" s="1583"/>
      <c r="G88" s="1584"/>
      <c r="H88" s="27"/>
    </row>
    <row r="89" spans="1:10" ht="17.25" customHeight="1">
      <c r="A89" s="1556" t="s">
        <v>417</v>
      </c>
      <c r="B89" s="1557"/>
      <c r="C89" s="1557"/>
      <c r="D89" s="1557"/>
      <c r="E89" s="1557"/>
      <c r="F89" s="1557"/>
      <c r="G89" s="1558"/>
      <c r="H89" s="27"/>
    </row>
    <row r="90" spans="1:10" ht="45" customHeight="1" thickBot="1">
      <c r="A90" s="1540" t="s">
        <v>484</v>
      </c>
      <c r="B90" s="1541"/>
      <c r="C90" s="1541"/>
      <c r="D90" s="1541"/>
      <c r="E90" s="1542"/>
      <c r="F90" s="1542"/>
      <c r="G90" s="1543"/>
      <c r="H90" s="27"/>
    </row>
    <row r="91" spans="1:10" ht="15" customHeight="1">
      <c r="A91" s="1544" t="s">
        <v>57</v>
      </c>
      <c r="B91" s="1571" t="s">
        <v>131</v>
      </c>
      <c r="C91" s="1455" t="s">
        <v>340</v>
      </c>
      <c r="D91" s="1661" t="s">
        <v>401</v>
      </c>
      <c r="E91" s="1454" t="s">
        <v>93</v>
      </c>
      <c r="F91" s="1455"/>
      <c r="G91" s="1456"/>
      <c r="H91" s="702"/>
      <c r="I91" s="702"/>
    </row>
    <row r="92" spans="1:10" ht="14" customHeight="1">
      <c r="A92" s="1545"/>
      <c r="B92" s="1572"/>
      <c r="C92" s="1458"/>
      <c r="D92" s="1662"/>
      <c r="E92" s="1457"/>
      <c r="F92" s="1458"/>
      <c r="G92" s="1459"/>
    </row>
    <row r="93" spans="1:10" ht="15.75" customHeight="1" thickBot="1">
      <c r="A93" s="1546"/>
      <c r="B93" s="733">
        <v>40999</v>
      </c>
      <c r="C93" s="734" t="str">
        <f>'Løntabel gældende fra'!$D$1</f>
        <v>01/04/2022</v>
      </c>
      <c r="D93" s="786" t="str">
        <f>C93</f>
        <v>01/04/2022</v>
      </c>
      <c r="E93" s="1451" t="s">
        <v>351</v>
      </c>
      <c r="F93" s="1452"/>
      <c r="G93" s="1453"/>
    </row>
    <row r="94" spans="1:10" ht="17.25" customHeight="1" thickBot="1">
      <c r="A94" s="729">
        <v>50</v>
      </c>
      <c r="B94" s="728">
        <v>521094</v>
      </c>
      <c r="C94" s="730">
        <f>B94*(1+'Løntabel gældende fra'!$D$7/100)</f>
        <v>590974.78977599996</v>
      </c>
      <c r="D94" s="731">
        <f>ROUND(C94/12,2)</f>
        <v>49247.9</v>
      </c>
      <c r="E94" s="1498">
        <f>ROUND(D94*0.171,2)</f>
        <v>8421.39</v>
      </c>
      <c r="F94" s="1499"/>
      <c r="G94" s="1500"/>
    </row>
    <row r="95" spans="1:10" ht="20.25" customHeight="1">
      <c r="A95" s="1527" t="s">
        <v>428</v>
      </c>
      <c r="B95" s="1527"/>
      <c r="C95" s="1527"/>
      <c r="D95" s="1527"/>
      <c r="E95" s="1528"/>
      <c r="F95" s="1528"/>
      <c r="G95" s="1528"/>
      <c r="H95" s="668"/>
      <c r="I95" s="668"/>
    </row>
    <row r="96" spans="1:10" ht="32.25" customHeight="1" thickBot="1">
      <c r="A96" s="1529"/>
      <c r="B96" s="1529"/>
      <c r="C96" s="1529"/>
      <c r="D96" s="1529"/>
      <c r="E96" s="1529"/>
      <c r="F96" s="1529"/>
      <c r="G96" s="1529"/>
      <c r="H96" s="668"/>
      <c r="I96" s="668"/>
    </row>
    <row r="97" spans="1:8" ht="21.75" customHeight="1" thickBot="1">
      <c r="A97" s="1658" t="s">
        <v>360</v>
      </c>
      <c r="B97" s="1659"/>
      <c r="C97" s="1659"/>
      <c r="D97" s="1659"/>
      <c r="E97" s="1659"/>
      <c r="F97" s="1659"/>
      <c r="G97" s="1660"/>
      <c r="H97" s="669"/>
    </row>
    <row r="98" spans="1:8" ht="12.75" customHeight="1">
      <c r="A98" s="1586" t="s">
        <v>359</v>
      </c>
      <c r="B98" s="1589" t="s">
        <v>398</v>
      </c>
      <c r="C98" s="1590"/>
      <c r="D98" s="1591"/>
      <c r="E98" s="1530" t="s">
        <v>398</v>
      </c>
      <c r="F98" s="1531"/>
      <c r="G98" s="1532"/>
      <c r="H98" s="668"/>
    </row>
    <row r="99" spans="1:8" ht="21" customHeight="1">
      <c r="A99" s="1587"/>
      <c r="B99" s="1592">
        <v>40999</v>
      </c>
      <c r="C99" s="1593"/>
      <c r="D99" s="1594"/>
      <c r="E99" s="1533" t="str">
        <f>'Løntabel gældende fra'!$D$1</f>
        <v>01/04/2022</v>
      </c>
      <c r="F99" s="1534"/>
      <c r="G99" s="1535"/>
    </row>
    <row r="100" spans="1:8" ht="16.5" customHeight="1">
      <c r="A100" s="1587"/>
      <c r="B100" s="1595"/>
      <c r="C100" s="1596"/>
      <c r="D100" s="1597"/>
      <c r="E100" s="1536"/>
      <c r="F100" s="1537"/>
      <c r="G100" s="1538"/>
    </row>
    <row r="101" spans="1:8" ht="19.5" customHeight="1" thickBot="1">
      <c r="A101" s="1588"/>
      <c r="B101" s="1666" t="s">
        <v>399</v>
      </c>
      <c r="C101" s="1539"/>
      <c r="D101" s="739" t="s">
        <v>400</v>
      </c>
      <c r="E101" s="1539" t="s">
        <v>399</v>
      </c>
      <c r="F101" s="1539"/>
      <c r="G101" s="740" t="s">
        <v>400</v>
      </c>
    </row>
    <row r="102" spans="1:8" ht="14.25" customHeight="1">
      <c r="A102" s="748">
        <v>1</v>
      </c>
      <c r="B102" s="1600">
        <v>485345</v>
      </c>
      <c r="C102" s="1601"/>
      <c r="D102" s="737">
        <v>511173</v>
      </c>
      <c r="E102" s="1585">
        <f>ROUND(B102*(1+'Løntabel gældende fra'!$D$7/100),2)</f>
        <v>550431.71</v>
      </c>
      <c r="F102" s="1585"/>
      <c r="G102" s="738">
        <f>ROUND(D102*(1+'Løntabel gældende fra'!$D$7/100),2)</f>
        <v>579723.34</v>
      </c>
    </row>
    <row r="103" spans="1:8" ht="17" thickBot="1">
      <c r="A103" s="736">
        <v>2</v>
      </c>
      <c r="B103" s="1525">
        <v>450909</v>
      </c>
      <c r="C103" s="1526"/>
      <c r="D103" s="735">
        <v>472431</v>
      </c>
      <c r="E103" s="1585">
        <f>ROUND(B103*(1+'Løntabel gældende fra'!$D$7/100),2)</f>
        <v>511377.7</v>
      </c>
      <c r="F103" s="1585"/>
      <c r="G103" s="738">
        <f>ROUND(D103*(1+'Løntabel gældende fra'!$D$7/100),2)</f>
        <v>535785.89</v>
      </c>
    </row>
    <row r="104" spans="1:8">
      <c r="A104" s="1482" t="s">
        <v>427</v>
      </c>
      <c r="B104" s="1482"/>
      <c r="C104" s="1482"/>
      <c r="D104" s="1482"/>
      <c r="E104" s="1482"/>
      <c r="F104" s="1482"/>
      <c r="G104" s="1482"/>
    </row>
    <row r="105" spans="1:8" ht="18" customHeight="1" thickBot="1">
      <c r="A105" s="27"/>
    </row>
    <row r="106" spans="1:8" ht="19" thickBot="1">
      <c r="A106" s="1663" t="s">
        <v>358</v>
      </c>
      <c r="B106" s="1664"/>
      <c r="C106" s="1664"/>
      <c r="D106" s="1664"/>
      <c r="E106" s="1664"/>
      <c r="F106" s="1664"/>
      <c r="G106" s="1665"/>
    </row>
    <row r="107" spans="1:8" ht="26.25" customHeight="1">
      <c r="A107" s="1568" t="s">
        <v>259</v>
      </c>
      <c r="B107" s="1454" t="s">
        <v>131</v>
      </c>
      <c r="C107" s="1455" t="s">
        <v>340</v>
      </c>
      <c r="D107" s="1627" t="s">
        <v>278</v>
      </c>
      <c r="E107" s="1455" t="str">
        <f>F8</f>
        <v>Pensionsbidrag til AkedemikerPension</v>
      </c>
      <c r="F107" s="1455"/>
      <c r="G107" s="1456"/>
    </row>
    <row r="108" spans="1:8" ht="21.75" customHeight="1">
      <c r="A108" s="1569"/>
      <c r="B108" s="1457"/>
      <c r="C108" s="1458"/>
      <c r="D108" s="1628"/>
      <c r="E108" s="1458"/>
      <c r="F108" s="1458"/>
      <c r="G108" s="1459"/>
    </row>
    <row r="109" spans="1:8" ht="18" customHeight="1" thickBot="1">
      <c r="A109" s="1569"/>
      <c r="B109" s="742">
        <v>40999</v>
      </c>
      <c r="C109" s="734" t="str">
        <f>'Løntabel gældende fra'!$D$1</f>
        <v>01/04/2022</v>
      </c>
      <c r="D109" s="734" t="str">
        <f>C109</f>
        <v>01/04/2022</v>
      </c>
      <c r="E109" s="1460" t="s">
        <v>355</v>
      </c>
      <c r="F109" s="1460"/>
      <c r="G109" s="1461"/>
    </row>
    <row r="110" spans="1:8" ht="17.25" customHeight="1" thickBot="1">
      <c r="A110" s="1570"/>
      <c r="B110" s="741">
        <v>460000</v>
      </c>
      <c r="C110" s="732">
        <f>ROUND(B110*(1+'Løntabel gældende fra'!$D$7/100),2)</f>
        <v>521687.84</v>
      </c>
      <c r="D110" s="731">
        <f>ROUND(C110/12,2)</f>
        <v>43473.99</v>
      </c>
      <c r="E110" s="1629">
        <f>ROUND(D110*0.168,2)</f>
        <v>7303.63</v>
      </c>
      <c r="F110" s="1630"/>
      <c r="G110" s="1631"/>
    </row>
    <row r="111" spans="1:8" ht="17.25" customHeight="1" thickBot="1">
      <c r="A111" s="694"/>
      <c r="B111" s="682"/>
      <c r="C111" s="682"/>
      <c r="D111" s="682"/>
      <c r="E111" s="683"/>
      <c r="F111" s="683"/>
      <c r="G111" s="683"/>
    </row>
    <row r="112" spans="1:8" ht="17.25" customHeight="1">
      <c r="A112" s="1632" t="s">
        <v>357</v>
      </c>
      <c r="B112" s="1633"/>
      <c r="C112" s="1633"/>
      <c r="D112" s="1633"/>
      <c r="E112" s="1633"/>
      <c r="F112" s="1633"/>
      <c r="G112" s="1634"/>
    </row>
    <row r="113" spans="1:9" ht="19.5" customHeight="1" thickBot="1">
      <c r="A113" s="1617" t="s">
        <v>356</v>
      </c>
      <c r="B113" s="1618"/>
      <c r="C113" s="1618"/>
      <c r="D113" s="1618"/>
      <c r="E113" s="1618"/>
      <c r="F113" s="1618"/>
      <c r="G113" s="1619"/>
    </row>
    <row r="114" spans="1:9" ht="20.25" customHeight="1">
      <c r="A114" s="1544" t="s">
        <v>115</v>
      </c>
      <c r="B114" s="1621" t="s">
        <v>131</v>
      </c>
      <c r="C114" s="1623" t="s">
        <v>340</v>
      </c>
      <c r="D114" s="1625" t="s">
        <v>278</v>
      </c>
      <c r="E114" s="1455" t="str">
        <f>E107</f>
        <v>Pensionsbidrag til AkedemikerPension</v>
      </c>
      <c r="F114" s="1455"/>
      <c r="G114" s="1456"/>
    </row>
    <row r="115" spans="1:9" ht="20.25" customHeight="1">
      <c r="A115" s="1620"/>
      <c r="B115" s="1622"/>
      <c r="C115" s="1624"/>
      <c r="D115" s="1626"/>
      <c r="E115" s="1458"/>
      <c r="F115" s="1458"/>
      <c r="G115" s="1459"/>
    </row>
    <row r="116" spans="1:9" ht="21" customHeight="1" thickBot="1">
      <c r="A116" s="747"/>
      <c r="B116" s="733">
        <v>40999</v>
      </c>
      <c r="C116" s="734" t="str">
        <f>'Løntabel gældende fra'!$D$1</f>
        <v>01/04/2022</v>
      </c>
      <c r="D116" s="734" t="str">
        <f>C116</f>
        <v>01/04/2022</v>
      </c>
      <c r="E116" s="1452" t="s">
        <v>355</v>
      </c>
      <c r="F116" s="1452"/>
      <c r="G116" s="1453"/>
    </row>
    <row r="117" spans="1:9" ht="19.5" customHeight="1">
      <c r="A117" s="745" t="s">
        <v>354</v>
      </c>
      <c r="B117" s="743">
        <v>131590</v>
      </c>
      <c r="C117" s="758">
        <f>ROUND(B117*(1+'Løntabel gældende fra'!$D$7/100),2)</f>
        <v>149236.75</v>
      </c>
      <c r="D117" s="758">
        <f>ROUND(C117/12,2)</f>
        <v>12436.4</v>
      </c>
      <c r="E117" s="1434">
        <f>ROUND(D117*0.168,2)</f>
        <v>2089.3200000000002</v>
      </c>
      <c r="F117" s="1434"/>
      <c r="G117" s="1435"/>
    </row>
    <row r="118" spans="1:9" ht="15.75" customHeight="1" thickBot="1">
      <c r="A118" s="746" t="s">
        <v>353</v>
      </c>
      <c r="B118" s="744">
        <v>150988</v>
      </c>
      <c r="C118" s="757">
        <f>ROUND(B118*(1+'Løntabel gældende fra'!$D$7/100),2)</f>
        <v>171236.09</v>
      </c>
      <c r="D118" s="916">
        <f>ROUND(C118/12,2)</f>
        <v>14269.67</v>
      </c>
      <c r="E118" s="1434">
        <f>ROUND(D118*0.168,2)</f>
        <v>2397.3000000000002</v>
      </c>
      <c r="F118" s="1434"/>
      <c r="G118" s="1435"/>
    </row>
    <row r="119" spans="1:9">
      <c r="A119" s="762" t="s">
        <v>405</v>
      </c>
      <c r="B119" s="678"/>
      <c r="C119" s="678"/>
      <c r="D119" s="678"/>
      <c r="E119" s="678"/>
      <c r="F119" s="678"/>
      <c r="G119" s="678"/>
      <c r="H119" s="680"/>
      <c r="I119" s="680"/>
    </row>
    <row r="120" spans="1:9" ht="15" customHeight="1"/>
    <row r="121" spans="1:9" customFormat="1" ht="15"/>
    <row r="122" spans="1:9" customFormat="1" ht="16" customHeight="1"/>
    <row r="123" spans="1:9" customFormat="1" ht="14" customHeight="1"/>
    <row r="124" spans="1:9" customFormat="1" ht="32" customHeight="1"/>
    <row r="125" spans="1:9" customFormat="1" ht="15" customHeight="1"/>
    <row r="126" spans="1:9" customFormat="1" ht="16" customHeight="1"/>
    <row r="127" spans="1:9" customFormat="1" ht="16" customHeight="1"/>
  </sheetData>
  <sheetProtection sheet="1" objects="1" scenarios="1"/>
  <mergeCells count="154">
    <mergeCell ref="A2:G2"/>
    <mergeCell ref="A113:G113"/>
    <mergeCell ref="A114:A115"/>
    <mergeCell ref="B114:B115"/>
    <mergeCell ref="C114:C115"/>
    <mergeCell ref="D114:D115"/>
    <mergeCell ref="D107:D108"/>
    <mergeCell ref="E110:G110"/>
    <mergeCell ref="A71:G71"/>
    <mergeCell ref="A112:G112"/>
    <mergeCell ref="A79:G79"/>
    <mergeCell ref="A80:G80"/>
    <mergeCell ref="A81:D82"/>
    <mergeCell ref="A83:D83"/>
    <mergeCell ref="A84:D84"/>
    <mergeCell ref="E81:G82"/>
    <mergeCell ref="E83:G83"/>
    <mergeCell ref="E84:G84"/>
    <mergeCell ref="A97:G97"/>
    <mergeCell ref="C91:C92"/>
    <mergeCell ref="D91:D92"/>
    <mergeCell ref="A106:G106"/>
    <mergeCell ref="B107:B108"/>
    <mergeCell ref="B101:C101"/>
    <mergeCell ref="B102:C102"/>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59:G59"/>
    <mergeCell ref="B21:C21"/>
    <mergeCell ref="D26:D27"/>
    <mergeCell ref="E26:E27"/>
    <mergeCell ref="A48:D48"/>
    <mergeCell ref="A50:D52"/>
    <mergeCell ref="A53:D53"/>
    <mergeCell ref="A54:D54"/>
    <mergeCell ref="A107:A110"/>
    <mergeCell ref="B91:B92"/>
    <mergeCell ref="C8:C9"/>
    <mergeCell ref="D8:D9"/>
    <mergeCell ref="E8:E9"/>
    <mergeCell ref="A65:B65"/>
    <mergeCell ref="E21:F21"/>
    <mergeCell ref="B22:C22"/>
    <mergeCell ref="A26:B27"/>
    <mergeCell ref="A64:B64"/>
    <mergeCell ref="C107:C108"/>
    <mergeCell ref="A86:G86"/>
    <mergeCell ref="A88:G88"/>
    <mergeCell ref="E102:F102"/>
    <mergeCell ref="E103:F103"/>
    <mergeCell ref="A98:A101"/>
    <mergeCell ref="B98:D98"/>
    <mergeCell ref="B99:D100"/>
    <mergeCell ref="A37:G37"/>
    <mergeCell ref="A34:B34"/>
    <mergeCell ref="A69:B69"/>
    <mergeCell ref="A68:B68"/>
    <mergeCell ref="A67:B67"/>
    <mergeCell ref="A66:B66"/>
    <mergeCell ref="B103:C103"/>
    <mergeCell ref="A95:G96"/>
    <mergeCell ref="E98:G98"/>
    <mergeCell ref="E99:G100"/>
    <mergeCell ref="E101:F101"/>
    <mergeCell ref="A90:G90"/>
    <mergeCell ref="A91:A93"/>
    <mergeCell ref="E41:E42"/>
    <mergeCell ref="F41:F42"/>
    <mergeCell ref="G41:G42"/>
    <mergeCell ref="A45:D45"/>
    <mergeCell ref="A46:D46"/>
    <mergeCell ref="E61:E62"/>
    <mergeCell ref="A72:G72"/>
    <mergeCell ref="A73:B74"/>
    <mergeCell ref="C73:D74"/>
    <mergeCell ref="A89:G89"/>
    <mergeCell ref="E50:E51"/>
    <mergeCell ref="F50:F51"/>
    <mergeCell ref="G50:G51"/>
    <mergeCell ref="A55:D55"/>
    <mergeCell ref="A56:D56"/>
    <mergeCell ref="A57:D57"/>
    <mergeCell ref="A47:D47"/>
    <mergeCell ref="A41:D43"/>
    <mergeCell ref="A44:D44"/>
    <mergeCell ref="C26:C27"/>
    <mergeCell ref="E22:F22"/>
    <mergeCell ref="A35:B35"/>
    <mergeCell ref="A33:B33"/>
    <mergeCell ref="A32:B32"/>
    <mergeCell ref="A31:B31"/>
    <mergeCell ref="A30:B30"/>
    <mergeCell ref="A29:B29"/>
    <mergeCell ref="A1:G1"/>
    <mergeCell ref="A6:G6"/>
    <mergeCell ref="A7:G7"/>
    <mergeCell ref="A60:G60"/>
    <mergeCell ref="A104:G104"/>
    <mergeCell ref="A49:G49"/>
    <mergeCell ref="A40:G40"/>
    <mergeCell ref="A38:G39"/>
    <mergeCell ref="F29:G29"/>
    <mergeCell ref="F30:G30"/>
    <mergeCell ref="F31:G31"/>
    <mergeCell ref="F32:G32"/>
    <mergeCell ref="F33:G33"/>
    <mergeCell ref="F34:G34"/>
    <mergeCell ref="F35:G35"/>
    <mergeCell ref="A24:G24"/>
    <mergeCell ref="A25:G25"/>
    <mergeCell ref="E76:G76"/>
    <mergeCell ref="E94:G94"/>
    <mergeCell ref="G61:G62"/>
    <mergeCell ref="C61:C63"/>
    <mergeCell ref="A61:B63"/>
    <mergeCell ref="A75:B75"/>
    <mergeCell ref="C75:D75"/>
    <mergeCell ref="E117:G117"/>
    <mergeCell ref="E118:G118"/>
    <mergeCell ref="A28:B28"/>
    <mergeCell ref="F26:G27"/>
    <mergeCell ref="F28:G28"/>
    <mergeCell ref="F10:G10"/>
    <mergeCell ref="F8:G9"/>
    <mergeCell ref="E75:G75"/>
    <mergeCell ref="E73:G74"/>
    <mergeCell ref="E93:G93"/>
    <mergeCell ref="E91:G92"/>
    <mergeCell ref="E109:G109"/>
    <mergeCell ref="E107:G108"/>
    <mergeCell ref="E114:G115"/>
    <mergeCell ref="E116:G116"/>
    <mergeCell ref="F11:G11"/>
    <mergeCell ref="F12:G12"/>
    <mergeCell ref="F13:G13"/>
    <mergeCell ref="F14:G14"/>
    <mergeCell ref="F15:G15"/>
    <mergeCell ref="F61:F62"/>
    <mergeCell ref="A76:B76"/>
    <mergeCell ref="C76:D76"/>
    <mergeCell ref="D61:D62"/>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6"/>
  <sheetViews>
    <sheetView view="pageBreakPreview" topLeftCell="A36" zoomScaleSheetLayoutView="100" workbookViewId="0">
      <selection activeCell="A50" sqref="A50:H50"/>
    </sheetView>
  </sheetViews>
  <sheetFormatPr baseColWidth="10" defaultColWidth="8.83203125" defaultRowHeight="14"/>
  <cols>
    <col min="1" max="1" width="10" style="245" customWidth="1"/>
    <col min="2" max="8" width="17" style="245" customWidth="1"/>
    <col min="9" max="16384" width="8.83203125" style="245"/>
  </cols>
  <sheetData>
    <row r="1" spans="1:8" ht="20">
      <c r="A1" s="1263" t="s">
        <v>19</v>
      </c>
      <c r="B1" s="1264"/>
      <c r="C1" s="1264"/>
      <c r="D1" s="1264"/>
      <c r="E1" s="1264"/>
      <c r="F1" s="1264"/>
      <c r="G1" s="1264"/>
      <c r="H1" s="1265"/>
    </row>
    <row r="2" spans="1:8" ht="20">
      <c r="A2" s="1276" t="s">
        <v>167</v>
      </c>
      <c r="B2" s="1277"/>
      <c r="C2" s="1277"/>
      <c r="D2" s="1277"/>
      <c r="E2" s="1277"/>
      <c r="F2" s="1277"/>
      <c r="G2" s="1277"/>
      <c r="H2" s="1278"/>
    </row>
    <row r="3" spans="1:8" ht="21" thickBot="1">
      <c r="A3" s="1738" t="str">
        <f>'Forside 1'!A6:I6</f>
        <v>Gældende fra 1. maj 2022</v>
      </c>
      <c r="B3" s="1739"/>
      <c r="C3" s="1739"/>
      <c r="D3" s="1739"/>
      <c r="E3" s="1739"/>
      <c r="F3" s="1739"/>
      <c r="G3" s="1739"/>
      <c r="H3" s="1740"/>
    </row>
    <row r="4" spans="1:8" s="550" customFormat="1" ht="18.75" customHeight="1" thickBot="1">
      <c r="A4" s="679"/>
      <c r="B4" s="679"/>
      <c r="C4" s="679"/>
      <c r="D4" s="679"/>
      <c r="E4" s="679"/>
      <c r="F4" s="679"/>
      <c r="G4" s="679"/>
      <c r="H4" s="679"/>
    </row>
    <row r="5" spans="1:8" ht="41.25" customHeight="1" thickBot="1">
      <c r="A5" s="1743" t="s">
        <v>524</v>
      </c>
      <c r="B5" s="1744"/>
      <c r="C5" s="1744"/>
      <c r="D5" s="1744"/>
      <c r="E5" s="1744"/>
      <c r="F5" s="1745"/>
      <c r="G5" s="1710" t="s">
        <v>93</v>
      </c>
      <c r="H5" s="1711"/>
    </row>
    <row r="6" spans="1:8" ht="26" customHeight="1" thickBot="1">
      <c r="A6" s="1707" t="s">
        <v>523</v>
      </c>
      <c r="B6" s="1708"/>
      <c r="C6" s="1708"/>
      <c r="D6" s="1708"/>
      <c r="E6" s="1708"/>
      <c r="F6" s="1708"/>
      <c r="G6" s="1708"/>
      <c r="H6" s="1709"/>
    </row>
    <row r="7" spans="1:8" ht="15">
      <c r="A7" s="761" t="s">
        <v>57</v>
      </c>
      <c r="B7" s="761" t="s">
        <v>75</v>
      </c>
      <c r="C7" s="761" t="s">
        <v>76</v>
      </c>
      <c r="D7" s="761" t="s">
        <v>77</v>
      </c>
      <c r="E7" s="761" t="s">
        <v>78</v>
      </c>
      <c r="F7" s="761" t="s">
        <v>79</v>
      </c>
      <c r="G7" s="761" t="s">
        <v>235</v>
      </c>
      <c r="H7" s="752">
        <v>0.14699999999999999</v>
      </c>
    </row>
    <row r="8" spans="1:8" ht="16">
      <c r="A8" s="606">
        <v>14</v>
      </c>
      <c r="B8" s="607">
        <f>+'Statens skalatrin'!D46</f>
        <v>21511.25</v>
      </c>
      <c r="C8" s="607">
        <f>+'Statens skalatrin'!F46</f>
        <v>21959.17</v>
      </c>
      <c r="D8" s="607">
        <f>+'Statens skalatrin'!H46</f>
        <v>22269.25</v>
      </c>
      <c r="E8" s="607">
        <f>+'Statens skalatrin'!J46</f>
        <v>22717.17</v>
      </c>
      <c r="F8" s="607">
        <f>+'Statens skalatrin'!L46</f>
        <v>23027.25</v>
      </c>
      <c r="G8" s="608">
        <f>+'Statens skalatrin'!O46</f>
        <v>20112.32</v>
      </c>
      <c r="H8" s="608">
        <f>ROUND(G8*$H$7,2)</f>
        <v>2956.51</v>
      </c>
    </row>
    <row r="9" spans="1:8" ht="16">
      <c r="A9" s="606">
        <v>15</v>
      </c>
      <c r="B9" s="607">
        <f>+'Statens skalatrin'!D49</f>
        <v>21892.83</v>
      </c>
      <c r="C9" s="607">
        <f>+'Statens skalatrin'!F49</f>
        <v>22352</v>
      </c>
      <c r="D9" s="607">
        <f>+'Statens skalatrin'!H49</f>
        <v>22669.83</v>
      </c>
      <c r="E9" s="607">
        <f>+'Statens skalatrin'!J49</f>
        <v>23129.08</v>
      </c>
      <c r="F9" s="607">
        <f>+'Statens skalatrin'!L49</f>
        <v>23447</v>
      </c>
      <c r="G9" s="608">
        <f>+'Statens skalatrin'!O49</f>
        <v>20469.79</v>
      </c>
      <c r="H9" s="608">
        <f t="shared" ref="H9:H33" si="0">ROUND(G9*$H$7,2)</f>
        <v>3009.06</v>
      </c>
    </row>
    <row r="10" spans="1:8" ht="16">
      <c r="A10" s="606">
        <v>16</v>
      </c>
      <c r="B10" s="607">
        <f>'Statens skalatrin'!D52</f>
        <v>22185.25</v>
      </c>
      <c r="C10" s="607">
        <f>+'Statens skalatrin'!F52</f>
        <v>22656.080000000002</v>
      </c>
      <c r="D10" s="607">
        <f>+'Statens skalatrin'!H52</f>
        <v>22982.17</v>
      </c>
      <c r="E10" s="607">
        <f>+'Statens skalatrin'!J52</f>
        <v>23452.92</v>
      </c>
      <c r="F10" s="607">
        <f>+'Statens skalatrin'!L52</f>
        <v>23778.92</v>
      </c>
      <c r="G10" s="608">
        <f>+'Statens skalatrin'!O52</f>
        <v>20837.32</v>
      </c>
      <c r="H10" s="608">
        <f t="shared" si="0"/>
        <v>3063.09</v>
      </c>
    </row>
    <row r="11" spans="1:8" ht="16">
      <c r="A11" s="606">
        <v>17</v>
      </c>
      <c r="B11" s="607">
        <f>'Statens skalatrin'!D55</f>
        <v>22588.080000000002</v>
      </c>
      <c r="C11" s="607">
        <f>+'Statens skalatrin'!F55</f>
        <v>23070.92</v>
      </c>
      <c r="D11" s="607">
        <f>+'Statens skalatrin'!H55</f>
        <v>23405.17</v>
      </c>
      <c r="E11" s="607">
        <f>+'Statens skalatrin'!J55</f>
        <v>23887.919999999998</v>
      </c>
      <c r="F11" s="607">
        <f>+'Statens skalatrin'!L55</f>
        <v>24222</v>
      </c>
      <c r="G11" s="608">
        <f>+'Statens skalatrin'!O55</f>
        <v>21214.74</v>
      </c>
      <c r="H11" s="608">
        <f t="shared" si="0"/>
        <v>3118.57</v>
      </c>
    </row>
    <row r="12" spans="1:8" ht="16">
      <c r="A12" s="606">
        <v>18</v>
      </c>
      <c r="B12" s="607">
        <f>'Statens skalatrin'!D58</f>
        <v>23002.17</v>
      </c>
      <c r="C12" s="607">
        <f>+'Statens skalatrin'!F58</f>
        <v>23497.33</v>
      </c>
      <c r="D12" s="607">
        <f>+'Statens skalatrin'!H58</f>
        <v>23840</v>
      </c>
      <c r="E12" s="607">
        <f>+'Statens skalatrin'!J58</f>
        <v>24335</v>
      </c>
      <c r="F12" s="607">
        <f>+'Statens skalatrin'!L58</f>
        <v>24677.67</v>
      </c>
      <c r="G12" s="608">
        <f>+'Statens skalatrin'!O58</f>
        <v>21602.74</v>
      </c>
      <c r="H12" s="608">
        <f t="shared" si="0"/>
        <v>3175.6</v>
      </c>
    </row>
    <row r="13" spans="1:8" ht="16">
      <c r="A13" s="606">
        <v>19</v>
      </c>
      <c r="B13" s="607">
        <f>'Statens skalatrin'!D61</f>
        <v>23311.25</v>
      </c>
      <c r="C13" s="607">
        <f>+'Statens skalatrin'!F61</f>
        <v>23818.92</v>
      </c>
      <c r="D13" s="607">
        <f>+'Statens skalatrin'!H61</f>
        <v>24170.25</v>
      </c>
      <c r="E13" s="607">
        <f>+'Statens skalatrin'!J61</f>
        <v>24678</v>
      </c>
      <c r="F13" s="607">
        <f>+'Statens skalatrin'!L61</f>
        <v>25029.58</v>
      </c>
      <c r="G13" s="608">
        <f>+'Statens skalatrin'!O61</f>
        <v>22001.32</v>
      </c>
      <c r="H13" s="608">
        <f t="shared" si="0"/>
        <v>3234.19</v>
      </c>
    </row>
    <row r="14" spans="1:8" ht="16">
      <c r="A14" s="606">
        <v>20</v>
      </c>
      <c r="B14" s="607">
        <f>+'Statens skalatrin'!D64</f>
        <v>23632.17</v>
      </c>
      <c r="C14" s="607">
        <f>+'Statens skalatrin'!F64</f>
        <v>24152.67</v>
      </c>
      <c r="D14" s="607">
        <f>+'Statens skalatrin'!H64</f>
        <v>24513.08</v>
      </c>
      <c r="E14" s="607">
        <f>+'Statens skalatrin'!J64</f>
        <v>25033.67</v>
      </c>
      <c r="F14" s="607">
        <f>+'Statens skalatrin'!L64</f>
        <v>25393.919999999998</v>
      </c>
      <c r="G14" s="608">
        <f>+'Statens skalatrin'!O64</f>
        <v>22410.799999999999</v>
      </c>
      <c r="H14" s="608">
        <f t="shared" si="0"/>
        <v>3294.39</v>
      </c>
    </row>
    <row r="15" spans="1:8" ht="16">
      <c r="A15" s="606">
        <v>21</v>
      </c>
      <c r="B15" s="607">
        <f>+'Statens skalatrin'!D67</f>
        <v>24023.33</v>
      </c>
      <c r="C15" s="607">
        <f>+'Statens skalatrin'!F67</f>
        <v>24557.25</v>
      </c>
      <c r="D15" s="607">
        <f>+'Statens skalatrin'!H67</f>
        <v>24926.83</v>
      </c>
      <c r="E15" s="607">
        <f>+'Statens skalatrin'!J67</f>
        <v>25460.75</v>
      </c>
      <c r="F15" s="607">
        <f>+'Statens skalatrin'!L67</f>
        <v>25830.33</v>
      </c>
      <c r="G15" s="608">
        <f>+'Statens skalatrin'!O67</f>
        <v>22831.72</v>
      </c>
      <c r="H15" s="608">
        <f t="shared" si="0"/>
        <v>3356.26</v>
      </c>
    </row>
    <row r="16" spans="1:8" ht="16">
      <c r="A16" s="606">
        <v>22</v>
      </c>
      <c r="B16" s="607">
        <f>+'Statens skalatrin'!D70</f>
        <v>24385.75</v>
      </c>
      <c r="C16" s="607">
        <f>+'Statens skalatrin'!F70</f>
        <v>24919.67</v>
      </c>
      <c r="D16" s="607">
        <f>+'Statens skalatrin'!H70</f>
        <v>25289.25</v>
      </c>
      <c r="E16" s="607">
        <f>+'Statens skalatrin'!J70</f>
        <v>25823.17</v>
      </c>
      <c r="F16" s="607">
        <f>+'Statens skalatrin'!L70</f>
        <v>26192.83</v>
      </c>
      <c r="G16" s="608">
        <f>+'Statens skalatrin'!O70</f>
        <v>23252.28</v>
      </c>
      <c r="H16" s="608">
        <f t="shared" si="0"/>
        <v>3418.09</v>
      </c>
    </row>
    <row r="17" spans="1:8" ht="16">
      <c r="A17" s="606">
        <v>23</v>
      </c>
      <c r="B17" s="607">
        <f>+'Statens skalatrin'!D73</f>
        <v>24774.25</v>
      </c>
      <c r="C17" s="607">
        <f>+'Statens skalatrin'!F73</f>
        <v>25293.25</v>
      </c>
      <c r="D17" s="607">
        <f>+'Statens skalatrin'!H73</f>
        <v>25652.83</v>
      </c>
      <c r="E17" s="607">
        <f>+'Statens skalatrin'!J73</f>
        <v>26172.080000000002</v>
      </c>
      <c r="F17" s="607">
        <f>+'Statens skalatrin'!L73</f>
        <v>26531.42</v>
      </c>
      <c r="G17" s="608">
        <f>+'Statens skalatrin'!O73</f>
        <v>23671.83</v>
      </c>
      <c r="H17" s="608">
        <f t="shared" si="0"/>
        <v>3479.76</v>
      </c>
    </row>
    <row r="18" spans="1:8" ht="16">
      <c r="A18" s="606">
        <v>24</v>
      </c>
      <c r="B18" s="607">
        <f>+'Statens skalatrin'!D76</f>
        <v>25174.5</v>
      </c>
      <c r="C18" s="607">
        <f>+'Statens skalatrin'!F76</f>
        <v>25678.92</v>
      </c>
      <c r="D18" s="607">
        <f>+'Statens skalatrin'!H76</f>
        <v>26028.25</v>
      </c>
      <c r="E18" s="607">
        <f>+'Statens skalatrin'!J76</f>
        <v>26532.83</v>
      </c>
      <c r="F18" s="607">
        <f>+'Statens skalatrin'!L76</f>
        <v>26882.17</v>
      </c>
      <c r="G18" s="608">
        <f>+'Statens skalatrin'!O76</f>
        <v>24103.3</v>
      </c>
      <c r="H18" s="608">
        <f t="shared" si="0"/>
        <v>3543.19</v>
      </c>
    </row>
    <row r="19" spans="1:8" ht="16">
      <c r="A19" s="606">
        <v>25</v>
      </c>
      <c r="B19" s="607">
        <f>+'Statens skalatrin'!D79</f>
        <v>25583.58</v>
      </c>
      <c r="C19" s="607">
        <f>+'Statens skalatrin'!F79</f>
        <v>26072.42</v>
      </c>
      <c r="D19" s="607">
        <f>+'Statens skalatrin'!H79</f>
        <v>26410.83</v>
      </c>
      <c r="E19" s="607">
        <f>+'Statens skalatrin'!J79</f>
        <v>26899.58</v>
      </c>
      <c r="F19" s="607">
        <f>+'Statens skalatrin'!L79</f>
        <v>27238</v>
      </c>
      <c r="G19" s="608">
        <f>+'Statens skalatrin'!O79</f>
        <v>24545.95</v>
      </c>
      <c r="H19" s="608">
        <f t="shared" si="0"/>
        <v>3608.25</v>
      </c>
    </row>
    <row r="20" spans="1:8" ht="16">
      <c r="A20" s="606">
        <v>26</v>
      </c>
      <c r="B20" s="607">
        <f>+'Statens skalatrin'!D82</f>
        <v>26002.25</v>
      </c>
      <c r="C20" s="607">
        <f>+'Statens skalatrin'!F82</f>
        <v>26474.080000000002</v>
      </c>
      <c r="D20" s="607">
        <f>+'Statens skalatrin'!H82</f>
        <v>26800.75</v>
      </c>
      <c r="E20" s="607">
        <f>+'Statens skalatrin'!J82</f>
        <v>27272.67</v>
      </c>
      <c r="F20" s="607">
        <f>+'Statens skalatrin'!L82</f>
        <v>27599.25</v>
      </c>
      <c r="G20" s="608">
        <f>+'Statens skalatrin'!O82</f>
        <v>25000.240000000002</v>
      </c>
      <c r="H20" s="608">
        <f t="shared" si="0"/>
        <v>3675.04</v>
      </c>
    </row>
    <row r="21" spans="1:8" ht="16">
      <c r="A21" s="606">
        <v>27</v>
      </c>
      <c r="B21" s="607">
        <f>+'Statens skalatrin'!D85</f>
        <v>26429.919999999998</v>
      </c>
      <c r="C21" s="607">
        <f>+'Statens skalatrin'!F85</f>
        <v>26883.58</v>
      </c>
      <c r="D21" s="607">
        <f>+'Statens skalatrin'!H85</f>
        <v>27197.919999999998</v>
      </c>
      <c r="E21" s="607">
        <f>+'Statens skalatrin'!J85</f>
        <v>27651.67</v>
      </c>
      <c r="F21" s="607">
        <f>+'Statens skalatrin'!L85</f>
        <v>27965.83</v>
      </c>
      <c r="G21" s="608">
        <f>+'Statens skalatrin'!O85</f>
        <v>25466.3</v>
      </c>
      <c r="H21" s="608">
        <f t="shared" si="0"/>
        <v>3743.55</v>
      </c>
    </row>
    <row r="22" spans="1:8" ht="16">
      <c r="A22" s="606">
        <v>28</v>
      </c>
      <c r="B22" s="607">
        <f>+'Statens skalatrin'!D88</f>
        <v>26867.17</v>
      </c>
      <c r="C22" s="607">
        <f>+'Statens skalatrin'!F88</f>
        <v>27301.75</v>
      </c>
      <c r="D22" s="607">
        <f>+'Statens skalatrin'!H88</f>
        <v>27602.58</v>
      </c>
      <c r="E22" s="607">
        <f>+'Statens skalatrin'!J88</f>
        <v>28037</v>
      </c>
      <c r="F22" s="607">
        <f>+'Statens skalatrin'!L88</f>
        <v>28337.919999999998</v>
      </c>
      <c r="G22" s="608">
        <f>+'Statens skalatrin'!O88</f>
        <v>25944.73</v>
      </c>
      <c r="H22" s="608">
        <f t="shared" si="0"/>
        <v>3813.88</v>
      </c>
    </row>
    <row r="23" spans="1:8" ht="16">
      <c r="A23" s="606">
        <v>29</v>
      </c>
      <c r="B23" s="607">
        <f>+'Statens skalatrin'!D91</f>
        <v>27314.33</v>
      </c>
      <c r="C23" s="607">
        <f>+'Statens skalatrin'!F91</f>
        <v>27728.25</v>
      </c>
      <c r="D23" s="607">
        <f>+'Statens skalatrin'!H91</f>
        <v>28014.92</v>
      </c>
      <c r="E23" s="607">
        <f>+'Statens skalatrin'!J91</f>
        <v>28428.83</v>
      </c>
      <c r="F23" s="607">
        <f>+'Statens skalatrin'!L91</f>
        <v>28715.42</v>
      </c>
      <c r="G23" s="608">
        <f>+'Statens skalatrin'!O91</f>
        <v>26435.49</v>
      </c>
      <c r="H23" s="608">
        <f t="shared" si="0"/>
        <v>3886.02</v>
      </c>
    </row>
    <row r="24" spans="1:8" ht="16">
      <c r="A24" s="606">
        <v>30</v>
      </c>
      <c r="B24" s="607">
        <f>+'Statens skalatrin'!D94</f>
        <v>27771.67</v>
      </c>
      <c r="C24" s="607">
        <f>+'Statens skalatrin'!F94</f>
        <v>28163.67</v>
      </c>
      <c r="D24" s="607">
        <f>+'Statens skalatrin'!H94</f>
        <v>28435</v>
      </c>
      <c r="E24" s="607">
        <f>+'Statens skalatrin'!J94</f>
        <v>28826.83</v>
      </c>
      <c r="F24" s="607">
        <f>+'Statens skalatrin'!L94</f>
        <v>29098.25</v>
      </c>
      <c r="G24" s="608">
        <f>+'Statens skalatrin'!O94</f>
        <v>26939.200000000001</v>
      </c>
      <c r="H24" s="608">
        <f t="shared" si="0"/>
        <v>3960.06</v>
      </c>
    </row>
    <row r="25" spans="1:8" ht="16">
      <c r="A25" s="606">
        <v>31</v>
      </c>
      <c r="B25" s="607">
        <f>+'Statens skalatrin'!D97</f>
        <v>28238.75</v>
      </c>
      <c r="C25" s="607">
        <f>+'Statens skalatrin'!F97</f>
        <v>28607.42</v>
      </c>
      <c r="D25" s="607">
        <f>+'Statens skalatrin'!H97</f>
        <v>28862.75</v>
      </c>
      <c r="E25" s="607">
        <f>+'Statens skalatrin'!J97</f>
        <v>29231.42</v>
      </c>
      <c r="F25" s="607">
        <f>+'Statens skalatrin'!L97</f>
        <v>29486.67</v>
      </c>
      <c r="G25" s="608">
        <f>+'Statens skalatrin'!O97</f>
        <v>27455.96</v>
      </c>
      <c r="H25" s="608">
        <f t="shared" si="0"/>
        <v>4036.03</v>
      </c>
    </row>
    <row r="26" spans="1:8" ht="16">
      <c r="A26" s="606">
        <v>32</v>
      </c>
      <c r="B26" s="607">
        <f>+'Statens skalatrin'!D100</f>
        <v>28716.67</v>
      </c>
      <c r="C26" s="607">
        <f>+'Statens skalatrin'!F100</f>
        <v>29060.5</v>
      </c>
      <c r="D26" s="607">
        <f>+'Statens skalatrin'!H100</f>
        <v>29298.5</v>
      </c>
      <c r="E26" s="607">
        <f>+'Statens skalatrin'!J100</f>
        <v>29642.58</v>
      </c>
      <c r="F26" s="607">
        <f>+'Statens skalatrin'!L100</f>
        <v>29880.5</v>
      </c>
      <c r="G26" s="608">
        <f>+'Statens skalatrin'!O100</f>
        <v>27986.400000000001</v>
      </c>
      <c r="H26" s="608">
        <f t="shared" si="0"/>
        <v>4114</v>
      </c>
    </row>
    <row r="27" spans="1:8" ht="16">
      <c r="A27" s="606">
        <v>33</v>
      </c>
      <c r="B27" s="607">
        <f>+'Statens skalatrin'!D103</f>
        <v>29204.67</v>
      </c>
      <c r="C27" s="607">
        <f>+'Statens skalatrin'!F103</f>
        <v>29522.17</v>
      </c>
      <c r="D27" s="607">
        <f>+'Statens skalatrin'!H103</f>
        <v>29742.17</v>
      </c>
      <c r="E27" s="607">
        <f>+'Statens skalatrin'!J103</f>
        <v>30059.75</v>
      </c>
      <c r="F27" s="607">
        <f>+'Statens skalatrin'!L103</f>
        <v>30279.67</v>
      </c>
      <c r="G27" s="608">
        <f>+'Statens skalatrin'!O103</f>
        <v>28530.45</v>
      </c>
      <c r="H27" s="608">
        <f t="shared" si="0"/>
        <v>4193.9799999999996</v>
      </c>
    </row>
    <row r="28" spans="1:8" ht="16">
      <c r="A28" s="606">
        <v>34</v>
      </c>
      <c r="B28" s="607">
        <f>+'Statens skalatrin'!D106</f>
        <v>29703.919999999998</v>
      </c>
      <c r="C28" s="607">
        <f>+'Statens skalatrin'!F106</f>
        <v>29993.58</v>
      </c>
      <c r="D28" s="607">
        <f>+'Statens skalatrin'!H106</f>
        <v>30194.080000000002</v>
      </c>
      <c r="E28" s="607">
        <f>+'Statens skalatrin'!J106</f>
        <v>30483.58</v>
      </c>
      <c r="F28" s="607">
        <f>+'Statens skalatrin'!L106</f>
        <v>30684.17</v>
      </c>
      <c r="G28" s="608">
        <f>+'Statens skalatrin'!O106</f>
        <v>29088.880000000001</v>
      </c>
      <c r="H28" s="608">
        <f t="shared" si="0"/>
        <v>4276.07</v>
      </c>
    </row>
    <row r="29" spans="1:8" ht="16">
      <c r="A29" s="606">
        <v>35</v>
      </c>
      <c r="B29" s="607">
        <f>+'Statens skalatrin'!D109</f>
        <v>30214.17</v>
      </c>
      <c r="C29" s="607">
        <f>+'Statens skalatrin'!F109</f>
        <v>30474.33</v>
      </c>
      <c r="D29" s="607">
        <f>+'Statens skalatrin'!H109</f>
        <v>30654.25</v>
      </c>
      <c r="E29" s="607">
        <f>+'Statens skalatrin'!J109</f>
        <v>30914.42</v>
      </c>
      <c r="F29" s="607">
        <f>+'Statens skalatrin'!L109</f>
        <v>31094.42</v>
      </c>
      <c r="G29" s="608">
        <f>+'Statens skalatrin'!O109</f>
        <v>29661.98</v>
      </c>
      <c r="H29" s="608">
        <f t="shared" si="0"/>
        <v>4360.3100000000004</v>
      </c>
    </row>
    <row r="30" spans="1:8" ht="16">
      <c r="A30" s="606">
        <v>36</v>
      </c>
      <c r="B30" s="607">
        <f>'Statens skalatrin'!D112</f>
        <v>30735.5</v>
      </c>
      <c r="C30" s="607">
        <f>+'Statens skalatrin'!F112</f>
        <v>30964.25</v>
      </c>
      <c r="D30" s="607">
        <f>+'Statens skalatrin'!H112</f>
        <v>31122.67</v>
      </c>
      <c r="E30" s="607">
        <f>+'Statens skalatrin'!J112</f>
        <v>31351.42</v>
      </c>
      <c r="F30" s="607">
        <f>+'Statens skalatrin'!L112</f>
        <v>31509.75</v>
      </c>
      <c r="G30" s="608">
        <f>+'Statens skalatrin'!O112</f>
        <v>30249.83</v>
      </c>
      <c r="H30" s="608">
        <f t="shared" si="0"/>
        <v>4446.7299999999996</v>
      </c>
    </row>
    <row r="31" spans="1:8" ht="16">
      <c r="A31" s="606">
        <v>37</v>
      </c>
      <c r="B31" s="607">
        <f>+'Statens skalatrin'!D115</f>
        <v>31268.5</v>
      </c>
      <c r="C31" s="607">
        <f>+'Statens skalatrin'!F115</f>
        <v>31464.080000000002</v>
      </c>
      <c r="D31" s="607">
        <f>+'Statens skalatrin'!H115</f>
        <v>31599.42</v>
      </c>
      <c r="E31" s="607">
        <f>+'Statens skalatrin'!J115</f>
        <v>31795.08</v>
      </c>
      <c r="F31" s="607">
        <f>+'Statens skalatrin'!L115</f>
        <v>31930.58</v>
      </c>
      <c r="G31" s="608">
        <f>+'Statens skalatrin'!O115</f>
        <v>30853.05</v>
      </c>
      <c r="H31" s="608">
        <f t="shared" si="0"/>
        <v>4535.3999999999996</v>
      </c>
    </row>
    <row r="32" spans="1:8" ht="16">
      <c r="A32" s="1048">
        <v>38</v>
      </c>
      <c r="B32" s="608">
        <f>+'Statens skalatrin'!D118</f>
        <v>31831.25</v>
      </c>
      <c r="C32" s="608">
        <f>+'Statens skalatrin'!F118</f>
        <v>31995</v>
      </c>
      <c r="D32" s="608">
        <f>+'Statens skalatrin'!H118</f>
        <v>32108.25</v>
      </c>
      <c r="E32" s="608">
        <f>+'Statens skalatrin'!J118</f>
        <v>32272</v>
      </c>
      <c r="F32" s="608">
        <f>+'Statens skalatrin'!L118</f>
        <v>32385.5</v>
      </c>
      <c r="G32" s="608">
        <f>+'Statens skalatrin'!O118</f>
        <v>31483.57</v>
      </c>
      <c r="H32" s="608">
        <f t="shared" si="0"/>
        <v>4628.08</v>
      </c>
    </row>
    <row r="33" spans="1:8" ht="17" thickBot="1">
      <c r="A33" s="1049">
        <v>39</v>
      </c>
      <c r="B33" s="1050">
        <f>'Statens skalatrin'!D121</f>
        <v>32399.58</v>
      </c>
      <c r="C33" s="1050">
        <f>'Statens skalatrin'!F121</f>
        <v>32525.75</v>
      </c>
      <c r="D33" s="1050">
        <f>'Statens skalatrin'!H121</f>
        <v>32613.08</v>
      </c>
      <c r="E33" s="1050">
        <f>'Statens skalatrin'!J121</f>
        <v>32739</v>
      </c>
      <c r="F33" s="1050">
        <f>'Statens skalatrin'!L121</f>
        <v>32826.33</v>
      </c>
      <c r="G33" s="1050">
        <f>'Statens skalatrin'!O121</f>
        <v>32131.95</v>
      </c>
      <c r="H33" s="1050">
        <f t="shared" si="0"/>
        <v>4723.3999999999996</v>
      </c>
    </row>
    <row r="34" spans="1:8" s="550" customFormat="1" ht="21" thickBot="1">
      <c r="A34" s="1746" t="s">
        <v>525</v>
      </c>
      <c r="B34" s="1747"/>
      <c r="C34" s="1747"/>
      <c r="D34" s="1747"/>
      <c r="E34" s="1747"/>
      <c r="F34" s="1748"/>
      <c r="G34" s="1741" t="s">
        <v>421</v>
      </c>
      <c r="H34" s="1742"/>
    </row>
    <row r="35" spans="1:8" ht="26" customHeight="1" thickBot="1">
      <c r="A35" s="1702" t="s">
        <v>523</v>
      </c>
      <c r="B35" s="1703"/>
      <c r="C35" s="1703"/>
      <c r="D35" s="1703"/>
      <c r="E35" s="1703"/>
      <c r="F35" s="1703"/>
      <c r="G35" s="1703"/>
      <c r="H35" s="1704"/>
    </row>
    <row r="36" spans="1:8" ht="26" customHeight="1" thickBot="1">
      <c r="A36" s="552" t="s">
        <v>57</v>
      </c>
      <c r="B36" s="552" t="s">
        <v>75</v>
      </c>
      <c r="C36" s="552" t="s">
        <v>76</v>
      </c>
      <c r="D36" s="552" t="s">
        <v>77</v>
      </c>
      <c r="E36" s="552" t="s">
        <v>78</v>
      </c>
      <c r="F36" s="552" t="s">
        <v>79</v>
      </c>
      <c r="G36" s="552" t="s">
        <v>235</v>
      </c>
      <c r="H36" s="760">
        <v>0.16200000000000001</v>
      </c>
    </row>
    <row r="37" spans="1:8" ht="16.5" customHeight="1">
      <c r="A37" s="677">
        <v>40</v>
      </c>
      <c r="B37" s="609">
        <f>'Statens skalatrin'!D124</f>
        <v>32980.33</v>
      </c>
      <c r="C37" s="609">
        <f>+'Statens skalatrin'!F124</f>
        <v>33066.5</v>
      </c>
      <c r="D37" s="609">
        <f>+'Statens skalatrin'!H124</f>
        <v>33126.25</v>
      </c>
      <c r="E37" s="609">
        <f>+'Statens skalatrin'!J124</f>
        <v>33212.42</v>
      </c>
      <c r="F37" s="609">
        <f>+'Statens skalatrin'!L124</f>
        <v>33272.17</v>
      </c>
      <c r="G37" s="609">
        <f>+'Statens skalatrin'!O124</f>
        <v>32797.1</v>
      </c>
      <c r="H37" s="610">
        <f>ROUND(G37*$H$36,2)</f>
        <v>5313.13</v>
      </c>
    </row>
    <row r="38" spans="1:8" ht="16">
      <c r="A38" s="606">
        <v>42</v>
      </c>
      <c r="B38" s="607">
        <f>'Statens skalatrin'!D130</f>
        <v>34180</v>
      </c>
      <c r="C38" s="607">
        <f>+'Statens skalatrin'!F130</f>
        <v>34180</v>
      </c>
      <c r="D38" s="607">
        <f>+'Statens skalatrin'!H130</f>
        <v>34180</v>
      </c>
      <c r="E38" s="607">
        <f>+'Statens skalatrin'!J130</f>
        <v>34180</v>
      </c>
      <c r="F38" s="607">
        <f>+'Statens skalatrin'!L130</f>
        <v>34180</v>
      </c>
      <c r="G38" s="607">
        <f>+'Statens skalatrin'!O130</f>
        <v>34179.93</v>
      </c>
      <c r="H38" s="610">
        <f t="shared" ref="H38:H40" si="1">ROUND(G38*$H$36,2)</f>
        <v>5537.15</v>
      </c>
    </row>
    <row r="39" spans="1:8" ht="16">
      <c r="A39" s="606">
        <v>44</v>
      </c>
      <c r="B39" s="607">
        <f>'Statens skalatrin'!D136</f>
        <v>35718.33</v>
      </c>
      <c r="C39" s="607">
        <f>+'Statens skalatrin'!F136</f>
        <v>35718.33</v>
      </c>
      <c r="D39" s="607">
        <f>+'Statens skalatrin'!H136</f>
        <v>35718.33</v>
      </c>
      <c r="E39" s="607">
        <f>+'Statens skalatrin'!J136</f>
        <v>35718.33</v>
      </c>
      <c r="F39" s="607">
        <f>+'Statens skalatrin'!L136</f>
        <v>35718.33</v>
      </c>
      <c r="G39" s="607">
        <f>+'Statens skalatrin'!O136</f>
        <v>35718.35</v>
      </c>
      <c r="H39" s="610">
        <f t="shared" si="1"/>
        <v>5786.37</v>
      </c>
    </row>
    <row r="40" spans="1:8" ht="17" thickBot="1">
      <c r="A40" s="611">
        <v>48</v>
      </c>
      <c r="B40" s="759">
        <f>'Statens skalatrin'!D148</f>
        <v>41680.83</v>
      </c>
      <c r="C40" s="759">
        <f>+'Statens skalatrin'!F148</f>
        <v>41680.83</v>
      </c>
      <c r="D40" s="759">
        <f>+'Statens skalatrin'!H148</f>
        <v>41680.83</v>
      </c>
      <c r="E40" s="759">
        <f>+'Statens skalatrin'!J148</f>
        <v>41680.83</v>
      </c>
      <c r="F40" s="759">
        <f>+'Statens skalatrin'!L148</f>
        <v>41680.83</v>
      </c>
      <c r="G40" s="759">
        <f>+'Statens skalatrin'!O148</f>
        <v>41680.76</v>
      </c>
      <c r="H40" s="610">
        <f t="shared" si="1"/>
        <v>6752.28</v>
      </c>
    </row>
    <row r="41" spans="1:8" ht="15" customHeight="1">
      <c r="A41" s="1736"/>
      <c r="B41" s="1736"/>
      <c r="C41" s="1736"/>
      <c r="D41" s="1736"/>
      <c r="E41" s="1736"/>
      <c r="F41" s="1736"/>
      <c r="G41" s="1736"/>
      <c r="H41" s="1736"/>
    </row>
    <row r="42" spans="1:8" s="550" customFormat="1" ht="15" thickBot="1">
      <c r="A42" s="1737"/>
      <c r="B42" s="1737"/>
      <c r="C42" s="1737"/>
      <c r="D42" s="1737"/>
      <c r="E42" s="1737"/>
      <c r="F42" s="1737"/>
      <c r="G42" s="1737"/>
      <c r="H42" s="1737"/>
    </row>
    <row r="43" spans="1:8" s="550" customFormat="1" ht="20">
      <c r="A43" s="1240" t="s">
        <v>518</v>
      </c>
      <c r="B43" s="1241"/>
      <c r="C43" s="1241"/>
      <c r="D43" s="1241"/>
      <c r="E43" s="1241"/>
      <c r="F43" s="1241"/>
      <c r="G43" s="1241"/>
      <c r="H43" s="1242"/>
    </row>
    <row r="44" spans="1:8" ht="26" customHeight="1" thickBot="1">
      <c r="A44" s="1712" t="s">
        <v>316</v>
      </c>
      <c r="B44" s="1713"/>
      <c r="C44" s="1713"/>
      <c r="D44" s="1713"/>
      <c r="E44" s="1713"/>
      <c r="F44" s="1713"/>
      <c r="G44" s="1713"/>
      <c r="H44" s="1714"/>
    </row>
    <row r="45" spans="1:8" ht="26" customHeight="1">
      <c r="A45" s="1717" t="s">
        <v>519</v>
      </c>
      <c r="B45" s="1718"/>
      <c r="C45" s="1719"/>
      <c r="D45" s="1749" t="s">
        <v>131</v>
      </c>
      <c r="E45" s="1750"/>
      <c r="F45" s="1749" t="s">
        <v>340</v>
      </c>
      <c r="G45" s="1750"/>
      <c r="H45" s="711" t="s">
        <v>278</v>
      </c>
    </row>
    <row r="46" spans="1:8" ht="15.75" customHeight="1" thickBot="1">
      <c r="A46" s="1720"/>
      <c r="B46" s="1721"/>
      <c r="C46" s="1722"/>
      <c r="D46" s="1751">
        <v>40999</v>
      </c>
      <c r="E46" s="1752"/>
      <c r="F46" s="1751" t="str">
        <f>'Løntabel gældende fra'!D1</f>
        <v>01/04/2022</v>
      </c>
      <c r="G46" s="1752"/>
      <c r="H46" s="595" t="str">
        <f>'Løntabel gældende fra'!$D$1</f>
        <v>01/04/2022</v>
      </c>
    </row>
    <row r="47" spans="1:8" ht="15" customHeight="1" thickBot="1">
      <c r="A47" s="1723"/>
      <c r="B47" s="1724"/>
      <c r="C47" s="1725"/>
      <c r="D47" s="1756">
        <v>4500</v>
      </c>
      <c r="E47" s="1757"/>
      <c r="F47" s="1758">
        <f>ROUND(+D47*(1+'Løntabel gældende fra'!$D$7/100),2)</f>
        <v>5103.47</v>
      </c>
      <c r="G47" s="1759">
        <f>+E47*(1+'Løntabel gældende fra'!$D$7/100)</f>
        <v>0</v>
      </c>
      <c r="H47" s="712">
        <f>ROUND(F47/12,2)</f>
        <v>425.29</v>
      </c>
    </row>
    <row r="48" spans="1:8" ht="15" customHeight="1" thickBot="1">
      <c r="A48" s="1770"/>
      <c r="B48" s="1771"/>
      <c r="C48" s="1771"/>
      <c r="D48" s="1771"/>
      <c r="E48" s="1771"/>
      <c r="F48" s="1771"/>
      <c r="G48" s="1771"/>
      <c r="H48" s="1772"/>
    </row>
    <row r="49" spans="1:8" s="550" customFormat="1" ht="18">
      <c r="A49" s="1171" t="s">
        <v>521</v>
      </c>
      <c r="B49" s="1172"/>
      <c r="C49" s="1172"/>
      <c r="D49" s="1172"/>
      <c r="E49" s="1172"/>
      <c r="F49" s="1172"/>
      <c r="G49" s="1172"/>
      <c r="H49" s="1173"/>
    </row>
    <row r="50" spans="1:8" ht="26" customHeight="1" thickBot="1">
      <c r="A50" s="1260" t="s">
        <v>316</v>
      </c>
      <c r="B50" s="1261"/>
      <c r="C50" s="1261"/>
      <c r="D50" s="1261"/>
      <c r="E50" s="1261"/>
      <c r="F50" s="1261"/>
      <c r="G50" s="1261"/>
      <c r="H50" s="1262"/>
    </row>
    <row r="51" spans="1:8" ht="26" customHeight="1">
      <c r="A51" s="1717" t="s">
        <v>520</v>
      </c>
      <c r="B51" s="1718"/>
      <c r="C51" s="1719"/>
      <c r="D51" s="1775" t="s">
        <v>131</v>
      </c>
      <c r="E51" s="1776"/>
      <c r="F51" s="1775" t="s">
        <v>340</v>
      </c>
      <c r="G51" s="1776"/>
      <c r="H51" s="711" t="s">
        <v>278</v>
      </c>
    </row>
    <row r="52" spans="1:8" ht="15.75" customHeight="1" thickBot="1">
      <c r="A52" s="1720"/>
      <c r="B52" s="1721"/>
      <c r="C52" s="1722"/>
      <c r="D52" s="1777">
        <v>40999</v>
      </c>
      <c r="E52" s="1778"/>
      <c r="F52" s="1779" t="str">
        <f>'Løntabel gældende fra'!D1</f>
        <v>01/04/2022</v>
      </c>
      <c r="G52" s="1778"/>
      <c r="H52" s="595" t="str">
        <f>'Løntabel gældende fra'!$D$1</f>
        <v>01/04/2022</v>
      </c>
    </row>
    <row r="53" spans="1:8" ht="15" customHeight="1" thickBot="1">
      <c r="A53" s="1723"/>
      <c r="B53" s="1724"/>
      <c r="C53" s="1725"/>
      <c r="D53" s="1773">
        <v>2000</v>
      </c>
      <c r="E53" s="1774"/>
      <c r="F53" s="1773">
        <f>ROUND(+D53*(1+'Løntabel gældende fra'!$D$7/100),2)</f>
        <v>2268.21</v>
      </c>
      <c r="G53" s="1774"/>
      <c r="H53" s="712">
        <f>ROUND(F53/12,2)</f>
        <v>189.02</v>
      </c>
    </row>
    <row r="54" spans="1:8" ht="31.5" customHeight="1" thickBot="1">
      <c r="A54" s="1104"/>
      <c r="B54" s="1104"/>
      <c r="C54" s="1104"/>
      <c r="D54" s="1104"/>
      <c r="E54" s="1104"/>
      <c r="F54" s="1104"/>
      <c r="G54" s="1104"/>
      <c r="H54" s="1104"/>
    </row>
    <row r="55" spans="1:8" ht="18">
      <c r="A55" s="1171" t="s">
        <v>227</v>
      </c>
      <c r="B55" s="1172"/>
      <c r="C55" s="1172"/>
      <c r="D55" s="1172"/>
      <c r="E55" s="1172"/>
      <c r="F55" s="1172"/>
      <c r="G55" s="1172"/>
      <c r="H55" s="1173"/>
    </row>
    <row r="56" spans="1:8" ht="20" customHeight="1" thickBot="1">
      <c r="A56" s="1260" t="s">
        <v>348</v>
      </c>
      <c r="B56" s="1261"/>
      <c r="C56" s="1261"/>
      <c r="D56" s="1261"/>
      <c r="E56" s="1261"/>
      <c r="F56" s="1261"/>
      <c r="G56" s="1261"/>
      <c r="H56" s="1262"/>
    </row>
    <row r="57" spans="1:8" ht="34.5" customHeight="1">
      <c r="A57" s="1717" t="s">
        <v>522</v>
      </c>
      <c r="B57" s="1718"/>
      <c r="C57" s="1718"/>
      <c r="D57" s="1718"/>
      <c r="E57" s="1718"/>
      <c r="F57" s="1719"/>
      <c r="G57" s="695" t="s">
        <v>101</v>
      </c>
      <c r="H57" s="698" t="s">
        <v>278</v>
      </c>
    </row>
    <row r="58" spans="1:8" ht="21" customHeight="1" thickBot="1">
      <c r="A58" s="1723"/>
      <c r="B58" s="1724"/>
      <c r="C58" s="1724"/>
      <c r="D58" s="1724"/>
      <c r="E58" s="1724"/>
      <c r="F58" s="1725"/>
      <c r="G58" s="595">
        <v>40999</v>
      </c>
      <c r="H58" s="612" t="str">
        <f>'Løntabel gældende fra'!$D$1</f>
        <v>01/04/2022</v>
      </c>
    </row>
    <row r="59" spans="1:8" ht="21" customHeight="1">
      <c r="A59" s="1726" t="s">
        <v>321</v>
      </c>
      <c r="B59" s="1727"/>
      <c r="C59" s="1727"/>
      <c r="D59" s="1727"/>
      <c r="E59" s="1727"/>
      <c r="F59" s="1728"/>
      <c r="G59" s="591">
        <v>540</v>
      </c>
      <c r="H59" s="613">
        <f>ROUND(G59+G59*'Løntabel gældende fra'!$D$7%,2)</f>
        <v>612.41999999999996</v>
      </c>
    </row>
    <row r="60" spans="1:8" ht="21" customHeight="1">
      <c r="A60" s="1762" t="s">
        <v>535</v>
      </c>
      <c r="B60" s="1763"/>
      <c r="C60" s="1764"/>
      <c r="D60" s="1768" t="s">
        <v>533</v>
      </c>
      <c r="E60" s="1768"/>
      <c r="F60" s="1769"/>
      <c r="G60" s="1043">
        <v>540</v>
      </c>
      <c r="H60" s="1042">
        <f>ROUND(G60+G60*'Løntabel gældende fra'!$D$7%,2)</f>
        <v>612.41999999999996</v>
      </c>
    </row>
    <row r="61" spans="1:8" ht="39" customHeight="1">
      <c r="A61" s="1726"/>
      <c r="B61" s="1727"/>
      <c r="C61" s="1765"/>
      <c r="D61" s="1766" t="s">
        <v>534</v>
      </c>
      <c r="E61" s="1766"/>
      <c r="F61" s="1767"/>
      <c r="G61" s="594">
        <v>270</v>
      </c>
      <c r="H61" s="1042">
        <f>ROUND(G61+G61*'Løntabel gældende fra'!$D$7%,2)</f>
        <v>306.20999999999998</v>
      </c>
    </row>
    <row r="62" spans="1:8" ht="20" customHeight="1" thickBot="1">
      <c r="A62" s="1729" t="s">
        <v>322</v>
      </c>
      <c r="B62" s="1730"/>
      <c r="C62" s="1730"/>
      <c r="D62" s="1730"/>
      <c r="E62" s="1730"/>
      <c r="F62" s="1731"/>
      <c r="G62" s="593">
        <v>666.67</v>
      </c>
      <c r="H62" s="614">
        <f>ROUND(G62+G62*'Løntabel gældende fra'!$D$7%,2)</f>
        <v>756.07</v>
      </c>
    </row>
    <row r="63" spans="1:8" ht="20" customHeight="1" thickBot="1">
      <c r="A63" s="279"/>
      <c r="B63" s="279"/>
      <c r="C63" s="279"/>
      <c r="D63" s="279"/>
      <c r="E63" s="279"/>
      <c r="F63" s="266"/>
      <c r="G63" s="266"/>
      <c r="H63" s="703"/>
    </row>
    <row r="64" spans="1:8" s="550" customFormat="1" ht="27" customHeight="1">
      <c r="A64" s="1171" t="s">
        <v>314</v>
      </c>
      <c r="B64" s="1172"/>
      <c r="C64" s="1172"/>
      <c r="D64" s="1172"/>
      <c r="E64" s="1172"/>
      <c r="F64" s="1172"/>
      <c r="G64" s="1172"/>
      <c r="H64" s="1173"/>
    </row>
    <row r="65" spans="1:9" ht="20" customHeight="1" thickBot="1">
      <c r="A65" s="1260" t="s">
        <v>312</v>
      </c>
      <c r="B65" s="1261"/>
      <c r="C65" s="1261"/>
      <c r="D65" s="1261"/>
      <c r="E65" s="1261"/>
      <c r="F65" s="1261"/>
      <c r="G65" s="1261"/>
      <c r="H65" s="1262"/>
    </row>
    <row r="66" spans="1:9" ht="20" customHeight="1">
      <c r="A66" s="708"/>
      <c r="B66" s="709"/>
      <c r="C66" s="709"/>
      <c r="D66" s="709"/>
      <c r="E66" s="709"/>
      <c r="F66" s="709"/>
      <c r="G66" s="711" t="s">
        <v>98</v>
      </c>
      <c r="H66" s="710" t="s">
        <v>103</v>
      </c>
    </row>
    <row r="67" spans="1:9" ht="15" customHeight="1" thickBot="1">
      <c r="A67" s="706"/>
      <c r="B67" s="707"/>
      <c r="C67" s="707"/>
      <c r="D67" s="707"/>
      <c r="E67" s="707"/>
      <c r="F67" s="707"/>
      <c r="G67" s="595">
        <v>40999</v>
      </c>
      <c r="H67" s="612" t="str">
        <f>'Løntabel gældende fra'!$D$1</f>
        <v>01/04/2022</v>
      </c>
    </row>
    <row r="68" spans="1:9" s="247" customFormat="1" ht="15.75" customHeight="1">
      <c r="A68" s="1671" t="s">
        <v>222</v>
      </c>
      <c r="B68" s="1672"/>
      <c r="C68" s="1672"/>
      <c r="D68" s="1672"/>
      <c r="E68" s="1672"/>
      <c r="F68" s="1039" t="s">
        <v>165</v>
      </c>
      <c r="G68" s="1040">
        <v>22.32</v>
      </c>
      <c r="H68" s="1041">
        <f>ROUND(G68+G68*'Løntabel gældende fra'!$D$7%,2)</f>
        <v>25.31</v>
      </c>
    </row>
    <row r="69" spans="1:9" ht="16.5" customHeight="1">
      <c r="A69" s="1732" t="s">
        <v>506</v>
      </c>
      <c r="B69" s="1733"/>
      <c r="C69" s="1733"/>
      <c r="D69" s="1733"/>
      <c r="E69" s="1733"/>
      <c r="F69" s="1721" t="s">
        <v>165</v>
      </c>
      <c r="G69" s="1715">
        <v>39.92</v>
      </c>
      <c r="H69" s="1705">
        <f>ROUND(G69+G69*'Løntabel gældende fra'!$D$7%,2)</f>
        <v>45.27</v>
      </c>
    </row>
    <row r="70" spans="1:9" ht="16" customHeight="1">
      <c r="A70" s="1734"/>
      <c r="B70" s="1735"/>
      <c r="C70" s="1735"/>
      <c r="D70" s="1735"/>
      <c r="E70" s="1735"/>
      <c r="F70" s="1760"/>
      <c r="G70" s="1716"/>
      <c r="H70" s="1706"/>
    </row>
    <row r="71" spans="1:9" s="247" customFormat="1" ht="16">
      <c r="A71" s="1667" t="s">
        <v>164</v>
      </c>
      <c r="B71" s="1668"/>
      <c r="C71" s="1668"/>
      <c r="D71" s="1668"/>
      <c r="E71" s="1668"/>
      <c r="F71" s="704" t="s">
        <v>165</v>
      </c>
      <c r="G71" s="594">
        <v>39.92</v>
      </c>
      <c r="H71" s="615">
        <f>ROUND(G71+G71*'Løntabel gældende fra'!$D$7%,2)</f>
        <v>45.27</v>
      </c>
    </row>
    <row r="72" spans="1:9" ht="16" customHeight="1">
      <c r="A72" s="1780" t="s">
        <v>240</v>
      </c>
      <c r="B72" s="1781"/>
      <c r="C72" s="1781"/>
      <c r="D72" s="1781"/>
      <c r="E72" s="1781"/>
      <c r="F72" s="701" t="s">
        <v>165</v>
      </c>
      <c r="G72" s="594">
        <v>39.92</v>
      </c>
      <c r="H72" s="615">
        <f>ROUND(G72+G72*'Løntabel gældende fra'!$D$7%,2)</f>
        <v>45.27</v>
      </c>
    </row>
    <row r="73" spans="1:9" ht="16">
      <c r="A73" s="1667" t="s">
        <v>422</v>
      </c>
      <c r="B73" s="1668"/>
      <c r="C73" s="1668"/>
      <c r="D73" s="1668"/>
      <c r="E73" s="1668"/>
      <c r="F73" s="704" t="s">
        <v>166</v>
      </c>
      <c r="G73" s="594">
        <v>39.92</v>
      </c>
      <c r="H73" s="615">
        <f>ROUND(G73+G73*'Løntabel gældende fra'!$D$7%,2)</f>
        <v>45.27</v>
      </c>
    </row>
    <row r="74" spans="1:9" ht="16">
      <c r="A74" s="1667" t="s">
        <v>423</v>
      </c>
      <c r="B74" s="1668"/>
      <c r="C74" s="1668"/>
      <c r="D74" s="1668"/>
      <c r="E74" s="1668"/>
      <c r="F74" s="704" t="s">
        <v>166</v>
      </c>
      <c r="G74" s="594">
        <v>91.84</v>
      </c>
      <c r="H74" s="615">
        <f>ROUND(G74+G74*'Løntabel gældende fra'!$D$7%,2)</f>
        <v>104.16</v>
      </c>
    </row>
    <row r="75" spans="1:9" ht="17" thickBot="1">
      <c r="A75" s="1669" t="s">
        <v>424</v>
      </c>
      <c r="B75" s="1670"/>
      <c r="C75" s="1670"/>
      <c r="D75" s="1670"/>
      <c r="E75" s="1670"/>
      <c r="F75" s="705" t="s">
        <v>165</v>
      </c>
      <c r="G75" s="593">
        <v>39.92</v>
      </c>
      <c r="H75" s="614">
        <f>ROUND(G75+G75*'Løntabel gældende fra'!$D$7%,2)</f>
        <v>45.27</v>
      </c>
    </row>
    <row r="76" spans="1:9" ht="15" thickBot="1">
      <c r="A76" s="279"/>
      <c r="B76" s="279"/>
      <c r="C76" s="279"/>
      <c r="D76" s="279"/>
      <c r="E76" s="279"/>
      <c r="F76" s="266"/>
      <c r="G76" s="266"/>
    </row>
    <row r="77" spans="1:9" s="550" customFormat="1" ht="27" customHeight="1" thickBot="1">
      <c r="A77" s="1753" t="s">
        <v>472</v>
      </c>
      <c r="B77" s="1754"/>
      <c r="C77" s="1754"/>
      <c r="D77" s="1754"/>
      <c r="E77" s="1754"/>
      <c r="F77" s="1754"/>
      <c r="G77" s="1754"/>
      <c r="H77" s="1755"/>
      <c r="I77" s="245"/>
    </row>
    <row r="78" spans="1:9" ht="16">
      <c r="A78" s="1696" t="s">
        <v>162</v>
      </c>
      <c r="B78" s="1697"/>
      <c r="C78" s="1697"/>
      <c r="D78" s="1698"/>
      <c r="E78" s="1761" t="s">
        <v>341</v>
      </c>
      <c r="F78" s="1761"/>
      <c r="G78" s="1677" t="s">
        <v>342</v>
      </c>
      <c r="H78" s="1678"/>
    </row>
    <row r="79" spans="1:9" ht="13" customHeight="1" thickBot="1">
      <c r="A79" s="1699"/>
      <c r="B79" s="1700"/>
      <c r="C79" s="1700"/>
      <c r="D79" s="1701"/>
      <c r="E79" s="1684">
        <v>40999</v>
      </c>
      <c r="F79" s="1685"/>
      <c r="G79" s="1675" t="str">
        <f>'Løntabel gældende fra'!$D$1</f>
        <v>01/04/2022</v>
      </c>
      <c r="H79" s="1676"/>
    </row>
    <row r="80" spans="1:9" ht="15" customHeight="1">
      <c r="A80" s="1693" t="s">
        <v>500</v>
      </c>
      <c r="B80" s="1694"/>
      <c r="C80" s="1694"/>
      <c r="D80" s="1695"/>
      <c r="E80" s="1686">
        <v>138.5</v>
      </c>
      <c r="F80" s="1683"/>
      <c r="G80" s="1682">
        <f>ROUND(+E80*(1+'Løntabel gældende fra'!$D$7/100),2)</f>
        <v>157.07</v>
      </c>
      <c r="H80" s="1683"/>
    </row>
    <row r="81" spans="1:8" ht="17" thickBot="1">
      <c r="A81" s="1689" t="s">
        <v>251</v>
      </c>
      <c r="B81" s="1690"/>
      <c r="C81" s="1690"/>
      <c r="D81" s="1691"/>
      <c r="E81" s="1687">
        <v>185</v>
      </c>
      <c r="F81" s="1688"/>
      <c r="G81" s="1673">
        <f>ROUND(+E81*(1+'Løntabel gældende fra'!$D$7/100),2)</f>
        <v>209.81</v>
      </c>
      <c r="H81" s="1674"/>
    </row>
    <row r="82" spans="1:8" ht="15" thickBot="1">
      <c r="A82" s="43"/>
      <c r="B82" s="43"/>
      <c r="C82" s="43"/>
      <c r="D82" s="236"/>
      <c r="E82" s="236"/>
      <c r="F82" s="236"/>
      <c r="G82" s="236"/>
    </row>
    <row r="83" spans="1:8" ht="19" thickBot="1">
      <c r="A83" s="1679" t="str">
        <f>"Unge under 18 år, pr. arbejdstime (60 minutter) pr. "&amp;'Løntabel gældende fra'!D1&amp;""</f>
        <v>Unge under 18 år, pr. arbejdstime (60 minutter) pr. 01/04/2022</v>
      </c>
      <c r="B83" s="1680"/>
      <c r="C83" s="1680"/>
      <c r="D83" s="1680"/>
      <c r="E83" s="1680"/>
      <c r="F83" s="1681"/>
    </row>
    <row r="84" spans="1:8" ht="19" customHeight="1" thickBot="1">
      <c r="A84" s="616" t="s">
        <v>157</v>
      </c>
      <c r="B84" s="617" t="s">
        <v>75</v>
      </c>
      <c r="C84" s="617" t="s">
        <v>76</v>
      </c>
      <c r="D84" s="617" t="s">
        <v>77</v>
      </c>
      <c r="E84" s="617" t="s">
        <v>78</v>
      </c>
      <c r="F84" s="618" t="s">
        <v>79</v>
      </c>
    </row>
    <row r="85" spans="1:8" ht="17">
      <c r="A85" s="677" t="s">
        <v>158</v>
      </c>
      <c r="B85" s="619">
        <f>0.66*B10/160.33</f>
        <v>91.325796794112151</v>
      </c>
      <c r="C85" s="620">
        <f>0.66*C10/160.33</f>
        <v>93.26397305557289</v>
      </c>
      <c r="D85" s="620">
        <f>0.66*D10/160.33</f>
        <v>94.606325703237061</v>
      </c>
      <c r="E85" s="620">
        <f>0.66*E10/160.33</f>
        <v>96.544172643921911</v>
      </c>
      <c r="F85" s="621">
        <f>0.66*F10/160.33</f>
        <v>97.886154805713204</v>
      </c>
    </row>
    <row r="86" spans="1:8" ht="17" thickBot="1">
      <c r="A86" s="611" t="s">
        <v>159</v>
      </c>
      <c r="B86" s="622">
        <f>0.74*B10/160.33</f>
        <v>102.3955903449136</v>
      </c>
      <c r="C86" s="623">
        <f>0.74*C10/160.33</f>
        <v>104.568697062309</v>
      </c>
      <c r="D86" s="623">
        <f>0.74*D10/160.33</f>
        <v>106.07375912181125</v>
      </c>
      <c r="E86" s="623">
        <f>0.74*E10/160.33</f>
        <v>108.24649660076091</v>
      </c>
      <c r="F86" s="624">
        <f>0.74*F10/160.33</f>
        <v>109.75114326701177</v>
      </c>
    </row>
    <row r="87" spans="1:8" ht="15" thickBot="1">
      <c r="A87" s="248"/>
      <c r="B87" s="249"/>
      <c r="C87" s="249"/>
      <c r="D87" s="249"/>
      <c r="E87" s="249"/>
      <c r="F87" s="249"/>
    </row>
    <row r="88" spans="1:8" ht="16.5" customHeight="1" thickBot="1">
      <c r="A88" s="1753" t="s">
        <v>160</v>
      </c>
      <c r="B88" s="1754"/>
      <c r="C88" s="1754"/>
      <c r="D88" s="1754"/>
      <c r="E88" s="1754"/>
      <c r="F88" s="1754"/>
      <c r="G88" s="1755"/>
    </row>
    <row r="89" spans="1:8" ht="18.75" customHeight="1">
      <c r="A89" s="1696" t="s">
        <v>161</v>
      </c>
      <c r="B89" s="1697"/>
      <c r="C89" s="1698"/>
      <c r="D89" s="1677" t="s">
        <v>101</v>
      </c>
      <c r="E89" s="1678"/>
      <c r="F89" s="1677" t="s">
        <v>278</v>
      </c>
      <c r="G89" s="1678"/>
    </row>
    <row r="90" spans="1:8" ht="17" thickBot="1">
      <c r="A90" s="1699"/>
      <c r="B90" s="1700"/>
      <c r="C90" s="1701"/>
      <c r="D90" s="1675">
        <v>40999</v>
      </c>
      <c r="E90" s="1692"/>
      <c r="F90" s="1675" t="str">
        <f>'Løntabel gældende fra'!$D$1</f>
        <v>01/04/2022</v>
      </c>
      <c r="G90" s="1676"/>
    </row>
    <row r="91" spans="1:8" ht="16">
      <c r="A91" s="1693" t="s">
        <v>303</v>
      </c>
      <c r="B91" s="1694"/>
      <c r="C91" s="1695"/>
      <c r="D91" s="1686">
        <v>10704</v>
      </c>
      <c r="E91" s="1683"/>
      <c r="F91" s="1682">
        <f>ROUND(+D91*(1+'Løntabel gældende fra'!$D$7/100),2)</f>
        <v>12139.45</v>
      </c>
      <c r="G91" s="1683">
        <f>+E91*(1+'Løntabel gældende fra'!$D$7/100)</f>
        <v>0</v>
      </c>
    </row>
    <row r="92" spans="1:8" ht="17" thickBot="1">
      <c r="A92" s="1689" t="s">
        <v>304</v>
      </c>
      <c r="B92" s="1690"/>
      <c r="C92" s="1691"/>
      <c r="D92" s="1687">
        <v>11039</v>
      </c>
      <c r="E92" s="1688"/>
      <c r="F92" s="1673">
        <f>ROUND(+D92*(1+'Løntabel gældende fra'!$D$7/100),2)</f>
        <v>12519.37</v>
      </c>
      <c r="G92" s="1674">
        <f>+E92*(1+'Løntabel gældende fra'!$D$7/100)</f>
        <v>0</v>
      </c>
    </row>
    <row r="93" spans="1:8" ht="16">
      <c r="A93" s="625"/>
      <c r="B93" s="626"/>
      <c r="C93" s="626"/>
      <c r="D93" s="626"/>
      <c r="E93" s="626"/>
      <c r="F93" s="626"/>
      <c r="G93" s="627"/>
      <c r="H93" s="246"/>
    </row>
    <row r="94" spans="1:8">
      <c r="F94" s="246"/>
    </row>
    <row r="95" spans="1:8">
      <c r="A95" s="255"/>
      <c r="B95" s="255"/>
      <c r="C95" s="255"/>
      <c r="H95" s="247"/>
    </row>
    <row r="96" spans="1:8">
      <c r="A96" s="247"/>
      <c r="B96" s="247"/>
      <c r="C96" s="247"/>
      <c r="D96" s="247"/>
      <c r="E96" s="247"/>
      <c r="F96" s="247"/>
      <c r="G96" s="247"/>
    </row>
  </sheetData>
  <sheetProtection sheet="1" objects="1" scenarios="1"/>
  <mergeCells count="75">
    <mergeCell ref="A80:D80"/>
    <mergeCell ref="A60:C61"/>
    <mergeCell ref="D61:F61"/>
    <mergeCell ref="D60:F60"/>
    <mergeCell ref="A48:H48"/>
    <mergeCell ref="A54:H54"/>
    <mergeCell ref="F53:G53"/>
    <mergeCell ref="A49:H49"/>
    <mergeCell ref="A50:H50"/>
    <mergeCell ref="A51:C53"/>
    <mergeCell ref="D51:E51"/>
    <mergeCell ref="F51:G51"/>
    <mergeCell ref="D52:E52"/>
    <mergeCell ref="F52:G52"/>
    <mergeCell ref="D53:E53"/>
    <mergeCell ref="A72:E72"/>
    <mergeCell ref="D91:E91"/>
    <mergeCell ref="F91:G91"/>
    <mergeCell ref="D45:E45"/>
    <mergeCell ref="F45:G45"/>
    <mergeCell ref="D46:E46"/>
    <mergeCell ref="F46:G46"/>
    <mergeCell ref="A88:G88"/>
    <mergeCell ref="D47:E47"/>
    <mergeCell ref="F47:G47"/>
    <mergeCell ref="A64:H64"/>
    <mergeCell ref="F69:F70"/>
    <mergeCell ref="A89:C90"/>
    <mergeCell ref="D89:E89"/>
    <mergeCell ref="E78:F78"/>
    <mergeCell ref="A77:H77"/>
    <mergeCell ref="G78:H78"/>
    <mergeCell ref="A1:H1"/>
    <mergeCell ref="A2:H2"/>
    <mergeCell ref="A3:H3"/>
    <mergeCell ref="G34:H34"/>
    <mergeCell ref="A5:F5"/>
    <mergeCell ref="A34:F34"/>
    <mergeCell ref="A35:H35"/>
    <mergeCell ref="H69:H70"/>
    <mergeCell ref="A6:H6"/>
    <mergeCell ref="G5:H5"/>
    <mergeCell ref="A43:H43"/>
    <mergeCell ref="A44:H44"/>
    <mergeCell ref="G69:G70"/>
    <mergeCell ref="A45:C47"/>
    <mergeCell ref="A55:H55"/>
    <mergeCell ref="A56:H56"/>
    <mergeCell ref="A57:F58"/>
    <mergeCell ref="A59:F59"/>
    <mergeCell ref="A62:F62"/>
    <mergeCell ref="A65:H65"/>
    <mergeCell ref="A69:E70"/>
    <mergeCell ref="A41:H42"/>
    <mergeCell ref="F92:G92"/>
    <mergeCell ref="F90:G90"/>
    <mergeCell ref="F89:G89"/>
    <mergeCell ref="A83:F83"/>
    <mergeCell ref="G79:H79"/>
    <mergeCell ref="G80:H80"/>
    <mergeCell ref="G81:H81"/>
    <mergeCell ref="E79:F79"/>
    <mergeCell ref="E80:F80"/>
    <mergeCell ref="E81:F81"/>
    <mergeCell ref="A92:C92"/>
    <mergeCell ref="D92:E92"/>
    <mergeCell ref="D90:E90"/>
    <mergeCell ref="A91:C91"/>
    <mergeCell ref="A78:D79"/>
    <mergeCell ref="A81:D81"/>
    <mergeCell ref="A73:E73"/>
    <mergeCell ref="A74:E74"/>
    <mergeCell ref="A75:E75"/>
    <mergeCell ref="A68:E68"/>
    <mergeCell ref="A71:E71"/>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5" customWidth="1"/>
    <col min="2" max="3" width="11.1640625" style="225" customWidth="1"/>
    <col min="4" max="4" width="11.33203125" style="225" customWidth="1"/>
    <col min="5" max="6" width="10.6640625" style="225" customWidth="1"/>
    <col min="7" max="7" width="10.1640625" style="225" customWidth="1"/>
    <col min="8" max="8" width="10.83203125" style="225" customWidth="1"/>
    <col min="9" max="9" width="11.1640625" style="225" customWidth="1"/>
    <col min="10" max="10" width="9.1640625" style="225" customWidth="1"/>
    <col min="11" max="16384" width="8.83203125" style="225"/>
  </cols>
  <sheetData>
    <row r="1" spans="1:16" ht="20">
      <c r="A1" s="1263" t="s">
        <v>19</v>
      </c>
      <c r="B1" s="1264"/>
      <c r="C1" s="1264"/>
      <c r="D1" s="1264"/>
      <c r="E1" s="1264"/>
      <c r="F1" s="1264"/>
      <c r="G1" s="1264"/>
      <c r="H1" s="1264"/>
      <c r="I1" s="1264"/>
      <c r="J1" s="1265"/>
    </row>
    <row r="2" spans="1:16" ht="20">
      <c r="A2" s="1805" t="s">
        <v>190</v>
      </c>
      <c r="B2" s="1806"/>
      <c r="C2" s="1806"/>
      <c r="D2" s="1806"/>
      <c r="E2" s="1806"/>
      <c r="F2" s="1806"/>
      <c r="G2" s="1806"/>
      <c r="H2" s="1806"/>
      <c r="I2" s="1806"/>
      <c r="J2" s="1807"/>
    </row>
    <row r="3" spans="1:16" ht="21" thickBot="1">
      <c r="A3" s="1738" t="s">
        <v>224</v>
      </c>
      <c r="B3" s="1739"/>
      <c r="C3" s="1739"/>
      <c r="D3" s="1739"/>
      <c r="E3" s="1739"/>
      <c r="F3" s="1739"/>
      <c r="G3" s="1739"/>
      <c r="H3" s="1739"/>
      <c r="I3" s="1739"/>
      <c r="J3" s="1740"/>
    </row>
    <row r="4" spans="1:16" ht="23">
      <c r="A4" s="1811"/>
      <c r="B4" s="1812"/>
      <c r="C4" s="1812"/>
      <c r="D4" s="1812"/>
      <c r="E4" s="1812"/>
      <c r="F4" s="1812"/>
      <c r="G4" s="1812"/>
      <c r="H4" s="1812"/>
      <c r="I4" s="1812"/>
      <c r="J4" s="245"/>
    </row>
    <row r="5" spans="1:16" ht="47.25" customHeight="1">
      <c r="A5" s="1081" t="s">
        <v>242</v>
      </c>
      <c r="B5" s="1082"/>
      <c r="C5" s="1082"/>
      <c r="D5" s="1082"/>
      <c r="E5" s="1082"/>
      <c r="F5" s="1082"/>
      <c r="G5" s="1082"/>
      <c r="H5" s="1082"/>
      <c r="I5" s="1082"/>
      <c r="J5" s="245"/>
    </row>
    <row r="6" spans="1:16" ht="8" customHeight="1">
      <c r="A6" s="269"/>
      <c r="B6" s="269"/>
      <c r="C6" s="269"/>
      <c r="D6" s="269"/>
      <c r="E6" s="269"/>
      <c r="F6" s="269"/>
      <c r="G6" s="269"/>
      <c r="H6" s="269"/>
      <c r="I6" s="269"/>
      <c r="J6" s="245"/>
      <c r="L6" s="256"/>
      <c r="M6" s="255"/>
      <c r="N6" s="255"/>
      <c r="O6" s="255"/>
      <c r="P6" s="255"/>
    </row>
    <row r="7" spans="1:16" ht="18" customHeight="1" thickBot="1">
      <c r="A7" s="269"/>
      <c r="B7" s="269"/>
      <c r="C7" s="269"/>
      <c r="D7" s="269"/>
      <c r="E7" s="269"/>
      <c r="F7" s="269"/>
      <c r="G7" s="269"/>
      <c r="H7" s="269"/>
      <c r="I7" s="269"/>
      <c r="J7" s="245"/>
      <c r="L7" s="256"/>
      <c r="M7" s="255"/>
      <c r="N7" s="255"/>
      <c r="O7" s="255"/>
      <c r="P7" s="255"/>
    </row>
    <row r="8" spans="1:16" ht="19" thickBot="1">
      <c r="A8" s="1808" t="s">
        <v>15</v>
      </c>
      <c r="B8" s="1809"/>
      <c r="C8" s="1809"/>
      <c r="D8" s="1809"/>
      <c r="E8" s="1809"/>
      <c r="F8" s="1810"/>
      <c r="G8" s="1679" t="s">
        <v>168</v>
      </c>
      <c r="H8" s="1680"/>
      <c r="I8" s="1680"/>
      <c r="J8" s="1681"/>
      <c r="L8" s="256"/>
      <c r="M8" s="255"/>
      <c r="N8" s="255"/>
      <c r="O8" s="255"/>
      <c r="P8" s="255"/>
    </row>
    <row r="9" spans="1:16" ht="42">
      <c r="A9" s="472" t="s">
        <v>57</v>
      </c>
      <c r="B9" s="472" t="s">
        <v>75</v>
      </c>
      <c r="C9" s="475" t="s">
        <v>76</v>
      </c>
      <c r="D9" s="472" t="s">
        <v>77</v>
      </c>
      <c r="E9" s="472" t="s">
        <v>78</v>
      </c>
      <c r="F9" s="472" t="s">
        <v>79</v>
      </c>
      <c r="G9" s="476" t="s">
        <v>185</v>
      </c>
      <c r="H9" s="477" t="s">
        <v>187</v>
      </c>
      <c r="I9" s="477" t="s">
        <v>188</v>
      </c>
      <c r="J9" s="478">
        <v>0.14000000000000001</v>
      </c>
    </row>
    <row r="10" spans="1:16" ht="15" customHeight="1">
      <c r="A10" s="385" t="s">
        <v>230</v>
      </c>
      <c r="B10" s="296">
        <f>+'Statens skalatrin'!D46+F24/12</f>
        <v>21696.203460666668</v>
      </c>
      <c r="C10" s="297">
        <f>+'Statens skalatrin'!F46+F24/12</f>
        <v>22144.123460666666</v>
      </c>
      <c r="D10" s="298">
        <f>+'Statens skalatrin'!H46+F24/12</f>
        <v>22454.203460666668</v>
      </c>
      <c r="E10" s="296">
        <f>+'Statens skalatrin'!J46+F24/12</f>
        <v>22902.123460666666</v>
      </c>
      <c r="F10" s="296">
        <f>+'Statens skalatrin'!L46+F24/12</f>
        <v>23212.203460666668</v>
      </c>
      <c r="G10" s="299">
        <f>+'Statens skalatrin'!O46+F24/12</f>
        <v>20297.273460666667</v>
      </c>
      <c r="H10" s="300">
        <f>J10*1/3</f>
        <v>947.20609483111127</v>
      </c>
      <c r="I10" s="301">
        <f>J10*2/3</f>
        <v>1894.4121896622225</v>
      </c>
      <c r="J10" s="301">
        <f>G10*$J$9</f>
        <v>2841.6182844933337</v>
      </c>
    </row>
    <row r="11" spans="1:16" ht="15" customHeight="1">
      <c r="A11" s="308">
        <v>17</v>
      </c>
      <c r="B11" s="296">
        <f>+'Statens skalatrin'!D55</f>
        <v>22588.080000000002</v>
      </c>
      <c r="C11" s="297">
        <f>+'Statens skalatrin'!F55</f>
        <v>23070.92</v>
      </c>
      <c r="D11" s="298">
        <f>+'Statens skalatrin'!H55</f>
        <v>23405.17</v>
      </c>
      <c r="E11" s="296">
        <f>'Statens skalatrin'!J55</f>
        <v>23887.919999999998</v>
      </c>
      <c r="F11" s="296">
        <f>+'Statens skalatrin'!L55</f>
        <v>24222</v>
      </c>
      <c r="G11" s="299">
        <f>+'Statens skalatrin'!O55</f>
        <v>21214.74</v>
      </c>
      <c r="H11" s="300">
        <f>J11*1/3</f>
        <v>990.02120000000014</v>
      </c>
      <c r="I11" s="301">
        <f>J11*2/3</f>
        <v>1980.0424000000003</v>
      </c>
      <c r="J11" s="301">
        <f>G11*$J$9</f>
        <v>2970.0636000000004</v>
      </c>
    </row>
    <row r="12" spans="1:16" ht="17" customHeight="1" thickBot="1">
      <c r="A12" s="309" t="s">
        <v>169</v>
      </c>
      <c r="B12" s="302">
        <f>+'Statens skalatrin'!D64+F25/12</f>
        <v>23684.52780133333</v>
      </c>
      <c r="C12" s="303">
        <f>+'Statens skalatrin'!F64+F25/12</f>
        <v>24205.02780133333</v>
      </c>
      <c r="D12" s="304">
        <f>+'Statens skalatrin'!H64+F25/12</f>
        <v>24565.437801333333</v>
      </c>
      <c r="E12" s="302">
        <f>+'Statens skalatrin'!J64+F25/12</f>
        <v>25086.02780133333</v>
      </c>
      <c r="F12" s="302">
        <f>+'Statens skalatrin'!L64+F25/12</f>
        <v>25446.27780133333</v>
      </c>
      <c r="G12" s="305">
        <f>+'Statens skalatrin'!O64+F25/12</f>
        <v>22463.157801333331</v>
      </c>
      <c r="H12" s="306">
        <f>J12*1/3</f>
        <v>1048.2806973955555</v>
      </c>
      <c r="I12" s="307">
        <f>J12*2/3</f>
        <v>2096.5613947911111</v>
      </c>
      <c r="J12" s="307">
        <f>G12*$J$9</f>
        <v>3144.8420921866668</v>
      </c>
    </row>
    <row r="13" spans="1:16" ht="17" customHeight="1">
      <c r="A13" s="255" t="s">
        <v>243</v>
      </c>
      <c r="B13" s="249"/>
      <c r="C13" s="249"/>
      <c r="D13" s="249"/>
      <c r="E13" s="249"/>
      <c r="F13" s="249"/>
      <c r="G13" s="273"/>
      <c r="H13" s="274"/>
      <c r="I13" s="275"/>
      <c r="J13" s="275"/>
    </row>
    <row r="14" spans="1:16" ht="16" customHeight="1" thickBot="1">
      <c r="A14" s="270"/>
      <c r="B14" s="270"/>
      <c r="C14" s="270"/>
      <c r="D14" s="270"/>
      <c r="E14" s="270"/>
      <c r="F14" s="270"/>
      <c r="G14" s="270"/>
      <c r="H14" s="270"/>
      <c r="I14" s="270"/>
      <c r="J14" s="245"/>
      <c r="L14" s="272"/>
    </row>
    <row r="15" spans="1:16" ht="16" customHeight="1" thickBot="1">
      <c r="A15" s="1679" t="s">
        <v>170</v>
      </c>
      <c r="B15" s="1680"/>
      <c r="C15" s="1680"/>
      <c r="D15" s="1680"/>
      <c r="E15" s="1680"/>
      <c r="F15" s="1681"/>
      <c r="G15" s="255"/>
      <c r="H15" s="255"/>
      <c r="I15" s="255"/>
      <c r="J15" s="245"/>
      <c r="L15" s="272"/>
    </row>
    <row r="16" spans="1:16" ht="16" customHeight="1" thickBot="1">
      <c r="A16" s="259" t="s">
        <v>171</v>
      </c>
      <c r="B16" s="260"/>
      <c r="C16" s="260"/>
      <c r="D16" s="260"/>
      <c r="E16" s="260"/>
      <c r="F16" s="261"/>
      <c r="G16" s="255"/>
      <c r="H16" s="255"/>
      <c r="I16" s="255"/>
      <c r="J16" s="245"/>
      <c r="L16" s="272"/>
    </row>
    <row r="17" spans="1:10" ht="16" customHeight="1">
      <c r="A17" s="472" t="s">
        <v>57</v>
      </c>
      <c r="B17" s="473" t="s">
        <v>75</v>
      </c>
      <c r="C17" s="472" t="s">
        <v>76</v>
      </c>
      <c r="D17" s="473" t="s">
        <v>77</v>
      </c>
      <c r="E17" s="472" t="s">
        <v>78</v>
      </c>
      <c r="F17" s="474" t="s">
        <v>79</v>
      </c>
      <c r="G17" s="255"/>
      <c r="H17" s="255"/>
      <c r="I17" s="255"/>
      <c r="J17" s="245"/>
    </row>
    <row r="18" spans="1:10" ht="16" customHeight="1" thickBot="1">
      <c r="A18" s="313">
        <v>14</v>
      </c>
      <c r="B18" s="310">
        <f>B10*12/1924</f>
        <v>135.31935630353431</v>
      </c>
      <c r="C18" s="311">
        <f>C10*12/1924</f>
        <v>138.11303613721412</v>
      </c>
      <c r="D18" s="310">
        <f>D10*12/1924</f>
        <v>140.04700703118502</v>
      </c>
      <c r="E18" s="311">
        <f>E10*12/1924</f>
        <v>142.84068686486486</v>
      </c>
      <c r="F18" s="312">
        <f>F10*12/1924</f>
        <v>144.77465775883576</v>
      </c>
      <c r="G18" s="255"/>
      <c r="H18" s="254"/>
      <c r="I18" s="254"/>
      <c r="J18" s="245"/>
    </row>
    <row r="19" spans="1:10" ht="15" customHeight="1">
      <c r="A19" s="264"/>
      <c r="B19" s="263"/>
      <c r="C19" s="263"/>
      <c r="D19" s="263"/>
      <c r="E19" s="263"/>
      <c r="F19" s="263"/>
      <c r="G19" s="255"/>
      <c r="H19" s="254"/>
      <c r="I19" s="254"/>
      <c r="J19" s="245"/>
    </row>
    <row r="20" spans="1:10" ht="13" customHeight="1" thickBot="1">
      <c r="A20" s="264"/>
      <c r="B20" s="263"/>
      <c r="C20" s="263"/>
      <c r="D20" s="263"/>
      <c r="E20" s="263"/>
      <c r="F20" s="263"/>
      <c r="G20" s="255"/>
      <c r="H20" s="254"/>
      <c r="I20" s="254"/>
      <c r="J20" s="245"/>
    </row>
    <row r="21" spans="1:10" ht="15" customHeight="1" thickBot="1">
      <c r="A21" s="1171" t="s">
        <v>163</v>
      </c>
      <c r="B21" s="1172"/>
      <c r="C21" s="1172"/>
      <c r="D21" s="1172"/>
      <c r="E21" s="1172"/>
      <c r="F21" s="1173"/>
      <c r="G21" s="219"/>
      <c r="H21" s="219"/>
      <c r="I21" s="219"/>
      <c r="J21" s="245"/>
    </row>
    <row r="22" spans="1:10" ht="15" customHeight="1">
      <c r="A22" s="1782" t="s">
        <v>182</v>
      </c>
      <c r="B22" s="1783"/>
      <c r="C22" s="1783"/>
      <c r="D22" s="1783"/>
      <c r="E22" s="466" t="s">
        <v>98</v>
      </c>
      <c r="F22" s="470" t="s">
        <v>103</v>
      </c>
      <c r="G22" s="266"/>
      <c r="H22" s="255"/>
      <c r="I22" s="255"/>
      <c r="J22" s="245"/>
    </row>
    <row r="23" spans="1:10" ht="15" customHeight="1" thickBot="1">
      <c r="A23" s="1785"/>
      <c r="B23" s="1786"/>
      <c r="C23" s="1786"/>
      <c r="D23" s="1786"/>
      <c r="E23" s="468">
        <v>40999</v>
      </c>
      <c r="F23" s="471" t="str">
        <f>'Løntabel gældende fra'!$D$1</f>
        <v>01/04/2022</v>
      </c>
      <c r="G23" s="266"/>
      <c r="H23" s="255"/>
      <c r="I23" s="255"/>
      <c r="J23" s="245"/>
    </row>
    <row r="24" spans="1:10" ht="15" customHeight="1" thickBot="1">
      <c r="A24" s="1815" t="s">
        <v>229</v>
      </c>
      <c r="B24" s="1816"/>
      <c r="C24" s="1816"/>
      <c r="D24" s="446"/>
      <c r="E24" s="322">
        <v>1957</v>
      </c>
      <c r="F24" s="314">
        <f>E24+E24*'Løntabel gældende fra'!$D$7%</f>
        <v>2219.4415279999998</v>
      </c>
      <c r="G24" s="266"/>
      <c r="H24" s="255"/>
      <c r="I24" s="255"/>
      <c r="J24" s="245"/>
    </row>
    <row r="25" spans="1:10" ht="15" customHeight="1" thickBot="1">
      <c r="A25" s="1813" t="s">
        <v>183</v>
      </c>
      <c r="B25" s="1814"/>
      <c r="C25" s="1814"/>
      <c r="D25" s="447"/>
      <c r="E25" s="322">
        <v>554</v>
      </c>
      <c r="F25" s="314">
        <f>E25+E25*'Løntabel gældende fra'!$D$7%</f>
        <v>628.29361600000004</v>
      </c>
      <c r="G25" s="266"/>
      <c r="H25" s="255"/>
      <c r="I25" s="255"/>
      <c r="J25" s="245"/>
    </row>
    <row r="26" spans="1:10" ht="15" customHeight="1">
      <c r="A26" s="265"/>
      <c r="B26" s="263"/>
      <c r="C26" s="263"/>
      <c r="D26" s="263"/>
      <c r="E26" s="263"/>
      <c r="F26" s="263"/>
      <c r="G26" s="255"/>
      <c r="H26" s="255"/>
      <c r="I26" s="255"/>
      <c r="J26" s="245"/>
    </row>
    <row r="27" spans="1:10" ht="15" customHeight="1" thickBot="1">
      <c r="A27" s="265"/>
      <c r="B27" s="263"/>
      <c r="C27" s="263"/>
      <c r="D27" s="263"/>
      <c r="E27" s="263"/>
      <c r="F27" s="263"/>
      <c r="G27" s="255"/>
      <c r="H27" s="255"/>
      <c r="I27" s="255"/>
      <c r="J27" s="245"/>
    </row>
    <row r="28" spans="1:10" ht="15" customHeight="1" thickBot="1">
      <c r="A28" s="1171" t="s">
        <v>172</v>
      </c>
      <c r="B28" s="1172"/>
      <c r="C28" s="1172"/>
      <c r="D28" s="1172"/>
      <c r="E28" s="1172"/>
      <c r="F28" s="1172"/>
      <c r="G28" s="1172"/>
      <c r="H28" s="1172"/>
      <c r="I28" s="1173"/>
      <c r="J28" s="245"/>
    </row>
    <row r="29" spans="1:10" ht="15" customHeight="1" thickBot="1">
      <c r="A29" s="1790"/>
      <c r="B29" s="1791"/>
      <c r="C29" s="1791"/>
      <c r="D29" s="1791"/>
      <c r="E29" s="1791"/>
      <c r="F29" s="1791"/>
      <c r="G29" s="1791"/>
      <c r="H29" s="466" t="s">
        <v>98</v>
      </c>
      <c r="I29" s="467" t="s">
        <v>103</v>
      </c>
      <c r="J29" s="245"/>
    </row>
    <row r="30" spans="1:10" ht="15" customHeight="1" thickBot="1">
      <c r="A30" s="1792"/>
      <c r="B30" s="1793"/>
      <c r="C30" s="1793"/>
      <c r="D30" s="1793"/>
      <c r="E30" s="1793"/>
      <c r="F30" s="1793"/>
      <c r="G30" s="1794"/>
      <c r="H30" s="468">
        <v>40999</v>
      </c>
      <c r="I30" s="469" t="str">
        <f>'Løntabel gældende fra'!$D$1</f>
        <v>01/04/2022</v>
      </c>
      <c r="J30" s="245"/>
    </row>
    <row r="31" spans="1:10" ht="15" customHeight="1">
      <c r="A31" s="1795" t="s">
        <v>173</v>
      </c>
      <c r="B31" s="1796"/>
      <c r="C31" s="1796"/>
      <c r="D31" s="1796"/>
      <c r="E31" s="1796"/>
      <c r="F31" s="250"/>
      <c r="G31" s="252" t="s">
        <v>165</v>
      </c>
      <c r="H31" s="315">
        <v>22.32</v>
      </c>
      <c r="I31" s="316">
        <f>H31+H31*'Løntabel gældende fra'!$D$7%</f>
        <v>25.313201280000001</v>
      </c>
      <c r="J31" s="245"/>
    </row>
    <row r="32" spans="1:10" ht="15" customHeight="1">
      <c r="A32" s="1803" t="s">
        <v>174</v>
      </c>
      <c r="B32" s="1804"/>
      <c r="C32" s="1804"/>
      <c r="D32" s="1804"/>
      <c r="E32" s="1804"/>
      <c r="F32" s="271"/>
      <c r="G32" s="253" t="s">
        <v>165</v>
      </c>
      <c r="H32" s="317">
        <v>39.921999999999997</v>
      </c>
      <c r="I32" s="318">
        <f>H32+H32*'Løntabel gældende fra'!$D$7%</f>
        <v>45.275699887999998</v>
      </c>
      <c r="J32" s="245"/>
    </row>
    <row r="33" spans="1:10" ht="26" customHeight="1">
      <c r="A33" s="1795" t="s">
        <v>175</v>
      </c>
      <c r="B33" s="1796"/>
      <c r="C33" s="1796"/>
      <c r="D33" s="1796"/>
      <c r="E33" s="1796"/>
      <c r="F33" s="1796"/>
      <c r="G33" s="253" t="s">
        <v>165</v>
      </c>
      <c r="H33" s="317">
        <v>39.92</v>
      </c>
      <c r="I33" s="318">
        <f>H33+H33*'Løntabel gældende fra'!$D$7%</f>
        <v>45.273431680000002</v>
      </c>
      <c r="J33" s="245"/>
    </row>
    <row r="34" spans="1:10" ht="15" customHeight="1" thickBot="1">
      <c r="A34" s="284" t="s">
        <v>164</v>
      </c>
      <c r="B34" s="283"/>
      <c r="C34" s="283"/>
      <c r="D34" s="283"/>
      <c r="E34" s="267"/>
      <c r="F34" s="267"/>
      <c r="G34" s="278" t="s">
        <v>165</v>
      </c>
      <c r="H34" s="319">
        <v>39.921999999999997</v>
      </c>
      <c r="I34" s="320">
        <f>H34+H34*'Løntabel gældende fra'!$D$7%</f>
        <v>45.275699887999998</v>
      </c>
      <c r="J34" s="245"/>
    </row>
    <row r="35" spans="1:10" ht="15" customHeight="1">
      <c r="A35" s="277"/>
      <c r="B35" s="277"/>
      <c r="C35" s="277"/>
      <c r="D35" s="277"/>
      <c r="E35" s="277"/>
      <c r="F35" s="277"/>
      <c r="G35" s="277"/>
      <c r="H35" s="236"/>
      <c r="I35" s="276"/>
      <c r="J35" s="245"/>
    </row>
    <row r="36" spans="1:10" ht="15" customHeight="1" thickBot="1">
      <c r="A36" s="277"/>
      <c r="B36" s="277"/>
      <c r="C36" s="277"/>
      <c r="D36" s="277"/>
      <c r="E36" s="277"/>
      <c r="F36" s="277"/>
      <c r="G36" s="277"/>
      <c r="H36" s="236"/>
      <c r="I36" s="276"/>
      <c r="J36" s="245"/>
    </row>
    <row r="37" spans="1:10" ht="15" customHeight="1" thickBot="1">
      <c r="A37" s="1171" t="s">
        <v>176</v>
      </c>
      <c r="B37" s="1172"/>
      <c r="C37" s="1172"/>
      <c r="D37" s="1172"/>
      <c r="E37" s="1172"/>
      <c r="F37" s="1172"/>
      <c r="G37" s="1172"/>
      <c r="H37" s="1172"/>
      <c r="I37" s="1173"/>
      <c r="J37" s="255"/>
    </row>
    <row r="38" spans="1:10" ht="15" customHeight="1" thickBot="1">
      <c r="A38" s="1790"/>
      <c r="B38" s="1791"/>
      <c r="C38" s="1791"/>
      <c r="D38" s="1791"/>
      <c r="E38" s="1791"/>
      <c r="F38" s="1791"/>
      <c r="G38" s="1791"/>
      <c r="H38" s="466" t="s">
        <v>98</v>
      </c>
      <c r="I38" s="467" t="s">
        <v>103</v>
      </c>
      <c r="J38" s="255"/>
    </row>
    <row r="39" spans="1:10" ht="15" customHeight="1" thickBot="1">
      <c r="A39" s="1792"/>
      <c r="B39" s="1793"/>
      <c r="C39" s="1793"/>
      <c r="D39" s="1793"/>
      <c r="E39" s="1793"/>
      <c r="F39" s="1793"/>
      <c r="G39" s="1794"/>
      <c r="H39" s="468">
        <v>40999</v>
      </c>
      <c r="I39" s="469" t="str">
        <f>'Løntabel gældende fra'!$D$1</f>
        <v>01/04/2022</v>
      </c>
      <c r="J39" s="255"/>
    </row>
    <row r="40" spans="1:10" ht="15" customHeight="1" thickBot="1">
      <c r="A40" s="1788" t="s">
        <v>177</v>
      </c>
      <c r="B40" s="1789"/>
      <c r="C40" s="1789"/>
      <c r="D40" s="1789"/>
      <c r="E40" s="1789"/>
      <c r="F40" s="251"/>
      <c r="G40" s="262" t="s">
        <v>165</v>
      </c>
      <c r="H40" s="321">
        <v>6.88</v>
      </c>
      <c r="I40" s="314">
        <f>H40+H40*'Løntabel gældende fra'!$D$7%</f>
        <v>7.8026355199999999</v>
      </c>
      <c r="J40" s="255"/>
    </row>
    <row r="41" spans="1:10" ht="15" customHeight="1">
      <c r="A41" s="245"/>
      <c r="B41" s="245"/>
      <c r="C41" s="245"/>
      <c r="D41" s="245"/>
      <c r="E41" s="245"/>
      <c r="F41" s="246"/>
      <c r="G41" s="245"/>
      <c r="H41" s="246"/>
      <c r="I41" s="245"/>
      <c r="J41" s="255"/>
    </row>
    <row r="42" spans="1:10" ht="15" customHeight="1" thickBot="1">
      <c r="A42" s="245"/>
      <c r="B42" s="245"/>
      <c r="C42" s="245"/>
      <c r="D42" s="245"/>
      <c r="E42" s="245"/>
      <c r="F42" s="246"/>
      <c r="G42" s="245"/>
      <c r="H42" s="246"/>
      <c r="I42" s="245"/>
      <c r="J42" s="255"/>
    </row>
    <row r="43" spans="1:10" ht="15" customHeight="1" thickBot="1">
      <c r="A43" s="1171" t="s">
        <v>178</v>
      </c>
      <c r="B43" s="1172"/>
      <c r="C43" s="1172"/>
      <c r="D43" s="1172"/>
      <c r="E43" s="1172"/>
      <c r="F43" s="1172"/>
      <c r="G43" s="1172"/>
      <c r="H43" s="1172"/>
      <c r="I43" s="1173"/>
      <c r="J43" s="255"/>
    </row>
    <row r="44" spans="1:10" ht="15" customHeight="1">
      <c r="A44" s="1797"/>
      <c r="B44" s="1798"/>
      <c r="C44" s="1798"/>
      <c r="D44" s="1798"/>
      <c r="E44" s="1798"/>
      <c r="F44" s="1798"/>
      <c r="G44" s="1799"/>
      <c r="H44" s="466" t="s">
        <v>98</v>
      </c>
      <c r="I44" s="467" t="s">
        <v>103</v>
      </c>
      <c r="J44" s="255"/>
    </row>
    <row r="45" spans="1:10" ht="15" customHeight="1" thickBot="1">
      <c r="A45" s="1800"/>
      <c r="B45" s="1801"/>
      <c r="C45" s="1801"/>
      <c r="D45" s="1801"/>
      <c r="E45" s="1801"/>
      <c r="F45" s="1801"/>
      <c r="G45" s="1802"/>
      <c r="H45" s="468">
        <v>40999</v>
      </c>
      <c r="I45" s="469" t="str">
        <f>'Løntabel gældende fra'!$D$1</f>
        <v>01/04/2022</v>
      </c>
      <c r="J45" s="255"/>
    </row>
    <row r="46" spans="1:10" ht="15" customHeight="1" thickBot="1">
      <c r="A46" s="1788" t="s">
        <v>191</v>
      </c>
      <c r="B46" s="1789"/>
      <c r="C46" s="1789"/>
      <c r="D46" s="1789"/>
      <c r="E46" s="1789"/>
      <c r="F46" s="251"/>
      <c r="G46" s="262"/>
      <c r="H46" s="321">
        <v>655</v>
      </c>
      <c r="I46" s="314">
        <f>H46+H46*'Løntabel gældende fra'!$D$7%</f>
        <v>742.83812</v>
      </c>
      <c r="J46" s="255"/>
    </row>
    <row r="47" spans="1:10" ht="15" customHeight="1">
      <c r="A47" s="245"/>
      <c r="B47" s="245"/>
      <c r="C47" s="245"/>
      <c r="D47" s="245"/>
      <c r="E47" s="245"/>
      <c r="F47" s="246"/>
      <c r="G47" s="245"/>
      <c r="H47" s="246"/>
      <c r="I47" s="245"/>
      <c r="J47" s="255"/>
    </row>
    <row r="48" spans="1:10" ht="15" customHeight="1" thickBot="1">
      <c r="A48" s="245"/>
      <c r="B48" s="245"/>
      <c r="C48" s="245"/>
      <c r="D48" s="245"/>
      <c r="E48" s="245"/>
      <c r="F48" s="246"/>
      <c r="G48" s="245"/>
      <c r="H48" s="246"/>
      <c r="I48" s="245"/>
      <c r="J48" s="255"/>
    </row>
    <row r="49" spans="1:10" ht="15" customHeight="1" thickBot="1">
      <c r="A49" s="1171" t="s">
        <v>179</v>
      </c>
      <c r="B49" s="1172"/>
      <c r="C49" s="1172"/>
      <c r="D49" s="1172"/>
      <c r="E49" s="1172"/>
      <c r="F49" s="1172"/>
      <c r="G49" s="1172"/>
      <c r="H49" s="1172"/>
      <c r="I49" s="1173"/>
      <c r="J49" s="255"/>
    </row>
    <row r="50" spans="1:10" ht="15" customHeight="1">
      <c r="A50" s="1782" t="s">
        <v>181</v>
      </c>
      <c r="B50" s="1783"/>
      <c r="C50" s="1783"/>
      <c r="D50" s="1783"/>
      <c r="E50" s="1783"/>
      <c r="F50" s="1783"/>
      <c r="G50" s="1784"/>
      <c r="H50" s="466" t="s">
        <v>98</v>
      </c>
      <c r="I50" s="467" t="s">
        <v>103</v>
      </c>
      <c r="J50" s="255"/>
    </row>
    <row r="51" spans="1:10" ht="15" customHeight="1" thickBot="1">
      <c r="A51" s="1785"/>
      <c r="B51" s="1786"/>
      <c r="C51" s="1786"/>
      <c r="D51" s="1786"/>
      <c r="E51" s="1786"/>
      <c r="F51" s="1786"/>
      <c r="G51" s="1787"/>
      <c r="H51" s="468">
        <v>40999</v>
      </c>
      <c r="I51" s="469" t="str">
        <f>'Løntabel gældende fra'!$D$1</f>
        <v>01/04/2022</v>
      </c>
      <c r="J51" s="255"/>
    </row>
    <row r="52" spans="1:10" ht="15" customHeight="1" thickBot="1">
      <c r="A52" s="1788" t="s">
        <v>180</v>
      </c>
      <c r="B52" s="1789"/>
      <c r="C52" s="1789"/>
      <c r="D52" s="1789"/>
      <c r="E52" s="1789"/>
      <c r="F52" s="251"/>
      <c r="G52" s="262"/>
      <c r="H52" s="321">
        <v>0</v>
      </c>
      <c r="I52" s="314">
        <f>H52+H52*'Løntabel gældende fra'!$D$7%</f>
        <v>0</v>
      </c>
      <c r="J52" s="255"/>
    </row>
    <row r="53" spans="1:10" ht="15" customHeight="1">
      <c r="A53" s="245"/>
      <c r="B53" s="245"/>
      <c r="C53" s="245"/>
      <c r="D53" s="245"/>
      <c r="E53" s="245"/>
      <c r="F53" s="246"/>
      <c r="G53" s="245"/>
      <c r="H53" s="246"/>
      <c r="I53" s="245"/>
      <c r="J53" s="255"/>
    </row>
    <row r="54" spans="1:10" ht="15" customHeight="1" thickBot="1">
      <c r="A54" s="245"/>
      <c r="B54" s="245"/>
      <c r="C54" s="245"/>
      <c r="D54" s="245"/>
      <c r="E54" s="245"/>
      <c r="F54" s="246"/>
      <c r="G54" s="245"/>
      <c r="H54" s="246"/>
      <c r="I54" s="245"/>
      <c r="J54" s="255"/>
    </row>
    <row r="55" spans="1:10" s="255" customFormat="1" ht="19" thickBot="1">
      <c r="A55" s="1171" t="s">
        <v>184</v>
      </c>
      <c r="B55" s="1172"/>
      <c r="C55" s="1172"/>
      <c r="D55" s="1172"/>
      <c r="E55" s="1172"/>
      <c r="F55" s="1172"/>
      <c r="G55" s="1172"/>
      <c r="H55" s="1172"/>
      <c r="I55" s="1173"/>
    </row>
    <row r="56" spans="1:10" s="255" customFormat="1" ht="14">
      <c r="A56" s="1782"/>
      <c r="B56" s="1783"/>
      <c r="C56" s="1783"/>
      <c r="D56" s="1783"/>
      <c r="E56" s="1783"/>
      <c r="F56" s="1783"/>
      <c r="G56" s="1784"/>
      <c r="H56" s="466" t="s">
        <v>98</v>
      </c>
      <c r="I56" s="467" t="s">
        <v>103</v>
      </c>
    </row>
    <row r="57" spans="1:10" s="255" customFormat="1" ht="15" thickBot="1">
      <c r="A57" s="1785"/>
      <c r="B57" s="1786"/>
      <c r="C57" s="1786"/>
      <c r="D57" s="1786"/>
      <c r="E57" s="1786"/>
      <c r="F57" s="1786"/>
      <c r="G57" s="1787"/>
      <c r="H57" s="468">
        <v>40999</v>
      </c>
      <c r="I57" s="469" t="str">
        <f>'Løntabel gældende fra'!$D$1</f>
        <v>01/04/2022</v>
      </c>
    </row>
    <row r="58" spans="1:10" s="255" customFormat="1" ht="15" thickBot="1">
      <c r="A58" s="1788" t="s">
        <v>184</v>
      </c>
      <c r="B58" s="1789"/>
      <c r="C58" s="1789"/>
      <c r="D58" s="1789"/>
      <c r="E58" s="1789"/>
      <c r="F58" s="251"/>
      <c r="G58" s="262"/>
      <c r="H58" s="321">
        <v>10500</v>
      </c>
      <c r="I58" s="322">
        <f>H58+H58*'Løntabel gældende fra'!$D$7%</f>
        <v>11908.092000000001</v>
      </c>
    </row>
    <row r="59" spans="1:10" s="282" customFormat="1" ht="14">
      <c r="A59" s="279"/>
      <c r="B59" s="279"/>
      <c r="C59" s="279"/>
      <c r="D59" s="279"/>
      <c r="E59" s="279"/>
      <c r="F59" s="266"/>
      <c r="G59" s="266"/>
      <c r="H59" s="280"/>
      <c r="I59" s="281"/>
    </row>
  </sheetData>
  <sheetProtection algorithmName="SHA-512" hashValue="AyjNfP6ulIQbGOSduTfLM0yMPMukmW2G0CCnfh4iT/w0yWlbiZPRzKY3RB9aVwVORfD1aacLTuhCywMCzN+q+g==" saltValue="ujB9Ub6xuuAd7dBIwZVd5w==" spinCount="100000" sheet="1" objects="1" scenarios="1"/>
  <mergeCells count="29">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 ref="A33:F33"/>
    <mergeCell ref="A43:I43"/>
    <mergeCell ref="A44:G45"/>
    <mergeCell ref="A49:I49"/>
    <mergeCell ref="A50:G51"/>
    <mergeCell ref="A56:G57"/>
    <mergeCell ref="A58:E58"/>
    <mergeCell ref="A46:E46"/>
    <mergeCell ref="A52:E52"/>
    <mergeCell ref="A37:I37"/>
    <mergeCell ref="A38:G39"/>
    <mergeCell ref="A40:E40"/>
    <mergeCell ref="A55:I55"/>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5" customWidth="1"/>
    <col min="2" max="2" width="15" style="225" customWidth="1"/>
    <col min="3" max="3" width="16.33203125" style="225" customWidth="1"/>
    <col min="4" max="4" width="16.1640625" style="226" customWidth="1"/>
    <col min="5" max="5" width="17.33203125" style="225" customWidth="1"/>
    <col min="6" max="6" width="13.6640625" style="227" customWidth="1"/>
    <col min="7" max="7" width="0.33203125" style="227" customWidth="1"/>
    <col min="8" max="8" width="10.6640625" style="225" customWidth="1"/>
    <col min="9" max="16384" width="8.83203125" style="225"/>
  </cols>
  <sheetData>
    <row r="1" spans="1:9" s="2" customFormat="1" ht="22" customHeight="1">
      <c r="A1" s="1263" t="s">
        <v>19</v>
      </c>
      <c r="B1" s="1264"/>
      <c r="C1" s="1264"/>
      <c r="D1" s="1264"/>
      <c r="E1" s="1264"/>
      <c r="F1" s="1264"/>
      <c r="G1" s="1265"/>
      <c r="H1" s="429"/>
      <c r="I1" s="42"/>
    </row>
    <row r="2" spans="1:9" s="2" customFormat="1" ht="76" customHeight="1">
      <c r="A2" s="1805" t="s">
        <v>148</v>
      </c>
      <c r="B2" s="1806"/>
      <c r="C2" s="1806"/>
      <c r="D2" s="1806"/>
      <c r="E2" s="1806"/>
      <c r="F2" s="1806"/>
      <c r="G2" s="1807"/>
      <c r="H2" s="428"/>
    </row>
    <row r="3" spans="1:9" s="2" customFormat="1" ht="28" customHeight="1" thickBot="1">
      <c r="A3" s="1738" t="s">
        <v>224</v>
      </c>
      <c r="B3" s="1739"/>
      <c r="C3" s="1739"/>
      <c r="D3" s="1739"/>
      <c r="E3" s="1739"/>
      <c r="F3" s="1739"/>
      <c r="G3" s="1740"/>
      <c r="H3" s="429"/>
    </row>
    <row r="4" spans="1:9" ht="12" customHeight="1" thickBot="1">
      <c r="A4" s="1818"/>
      <c r="B4" s="1818"/>
      <c r="C4" s="1818"/>
      <c r="D4" s="1818"/>
      <c r="E4" s="1818"/>
      <c r="F4" s="1818"/>
      <c r="G4" s="1818"/>
    </row>
    <row r="5" spans="1:9" ht="19" thickBot="1">
      <c r="A5" s="488" t="s">
        <v>151</v>
      </c>
      <c r="B5" s="489"/>
      <c r="C5" s="489"/>
      <c r="D5" s="489"/>
      <c r="E5" s="489"/>
      <c r="F5" s="430"/>
      <c r="G5" s="490"/>
    </row>
    <row r="6" spans="1:9" ht="30" customHeight="1">
      <c r="A6" s="1178" t="s">
        <v>138</v>
      </c>
      <c r="B6" s="1178" t="s">
        <v>94</v>
      </c>
      <c r="C6" s="433" t="s">
        <v>100</v>
      </c>
      <c r="D6" s="434" t="s">
        <v>100</v>
      </c>
      <c r="E6" s="434" t="s">
        <v>101</v>
      </c>
      <c r="F6" s="371" t="s">
        <v>139</v>
      </c>
    </row>
    <row r="7" spans="1:9" ht="15" customHeight="1" thickBot="1">
      <c r="A7" s="1196"/>
      <c r="B7" s="1196"/>
      <c r="C7" s="368">
        <v>40999</v>
      </c>
      <c r="D7" s="342">
        <f>'Løntabel gældende fra'!C7</f>
        <v>44652</v>
      </c>
      <c r="E7" s="342">
        <f>'Løntabel gældende fra'!C7</f>
        <v>44652</v>
      </c>
      <c r="F7" s="425" t="s">
        <v>140</v>
      </c>
    </row>
    <row r="8" spans="1:9" ht="16" customHeight="1">
      <c r="A8" s="98">
        <v>1</v>
      </c>
      <c r="B8" s="98" t="s">
        <v>141</v>
      </c>
      <c r="C8" s="391">
        <f>12*22670</f>
        <v>272040</v>
      </c>
      <c r="D8" s="233">
        <f>C8+(C8*'Løntabel gældende fra'!$D$7%)</f>
        <v>308521.65216</v>
      </c>
      <c r="E8" s="387">
        <f>D8/12</f>
        <v>25710.13768</v>
      </c>
      <c r="F8" s="480">
        <f>(E8*12)/1672*1</f>
        <v>184.52251923444976</v>
      </c>
    </row>
    <row r="9" spans="1:9" ht="16" customHeight="1">
      <c r="A9" s="99">
        <v>2</v>
      </c>
      <c r="B9" s="99" t="s">
        <v>149</v>
      </c>
      <c r="C9" s="386">
        <f>25300*12</f>
        <v>303600</v>
      </c>
      <c r="D9" s="193">
        <f>C9+(C9*'Løntabel gældende fra'!$D$7%)</f>
        <v>344313.97440000001</v>
      </c>
      <c r="E9" s="293">
        <f>D9/12</f>
        <v>28692.831200000001</v>
      </c>
      <c r="F9" s="482">
        <f>(E9*12)/1672*1</f>
        <v>205.92941052631579</v>
      </c>
    </row>
    <row r="10" spans="1:9" ht="16" customHeight="1">
      <c r="A10" s="228">
        <v>3</v>
      </c>
      <c r="B10" s="483" t="s">
        <v>142</v>
      </c>
      <c r="C10" s="484">
        <f>27920*12</f>
        <v>335040</v>
      </c>
      <c r="D10" s="193">
        <f>C10+(C10*'Løntabel gældende fra'!$D$7%)</f>
        <v>379970.20416000002</v>
      </c>
      <c r="E10" s="293">
        <f>D10/12</f>
        <v>31664.183680000002</v>
      </c>
      <c r="F10" s="482">
        <f>(E10*12)/1672*1</f>
        <v>227.25490679425837</v>
      </c>
    </row>
    <row r="11" spans="1:9" ht="16" customHeight="1" thickBot="1">
      <c r="A11" s="229">
        <v>4</v>
      </c>
      <c r="B11" s="485" t="s">
        <v>150</v>
      </c>
      <c r="C11" s="486">
        <f>29200*12</f>
        <v>350400</v>
      </c>
      <c r="D11" s="172">
        <f>C11+(C11*'Løntabel gældende fra'!$D$7%)</f>
        <v>397390.0416</v>
      </c>
      <c r="E11" s="390">
        <f>D11/12</f>
        <v>33115.836799999997</v>
      </c>
      <c r="F11" s="481">
        <f>(E11*12)/1672*1</f>
        <v>237.67346985645932</v>
      </c>
    </row>
    <row r="12" spans="1:9" ht="11" customHeight="1" thickBot="1"/>
    <row r="13" spans="1:9" ht="19" thickBot="1">
      <c r="A13" s="1184" t="s">
        <v>152</v>
      </c>
      <c r="B13" s="1185"/>
      <c r="C13" s="1185"/>
      <c r="D13" s="1185"/>
      <c r="E13" s="1243"/>
      <c r="F13" s="219"/>
    </row>
    <row r="14" spans="1:9" ht="30" customHeight="1">
      <c r="A14" s="1178" t="s">
        <v>138</v>
      </c>
      <c r="B14" s="433" t="s">
        <v>100</v>
      </c>
      <c r="C14" s="434" t="s">
        <v>100</v>
      </c>
      <c r="D14" s="434" t="s">
        <v>101</v>
      </c>
      <c r="E14" s="371" t="s">
        <v>139</v>
      </c>
      <c r="F14" s="43"/>
    </row>
    <row r="15" spans="1:9" ht="17" customHeight="1" thickBot="1">
      <c r="A15" s="1196"/>
      <c r="B15" s="368">
        <v>40999</v>
      </c>
      <c r="C15" s="342">
        <f>'Løntabel gældende fra'!C7</f>
        <v>44652</v>
      </c>
      <c r="D15" s="342">
        <f>'Løntabel gældende fra'!C7</f>
        <v>44652</v>
      </c>
      <c r="E15" s="425" t="s">
        <v>140</v>
      </c>
      <c r="F15" s="43"/>
    </row>
    <row r="16" spans="1:9" ht="16" customHeight="1">
      <c r="A16" s="98" t="s">
        <v>143</v>
      </c>
      <c r="B16" s="391">
        <f>12*13140</f>
        <v>157680</v>
      </c>
      <c r="C16" s="233">
        <f>B16+(B16*'Løntabel gældende fra'!$D$7%)</f>
        <v>178825.51871999999</v>
      </c>
      <c r="D16" s="387">
        <f>C16/12</f>
        <v>14902.126559999999</v>
      </c>
      <c r="E16" s="480">
        <f>(D16*12)/1672*1</f>
        <v>106.9530614354067</v>
      </c>
      <c r="F16" s="232"/>
    </row>
    <row r="17" spans="1:8" ht="16" customHeight="1" thickBot="1">
      <c r="A17" s="100" t="s">
        <v>144</v>
      </c>
      <c r="B17" s="388">
        <f>12*13800</f>
        <v>165600</v>
      </c>
      <c r="C17" s="172">
        <f>B17+(B17*'Løntabel gældende fra'!$D$7%)</f>
        <v>187807.62239999999</v>
      </c>
      <c r="D17" s="390">
        <f>C17/12</f>
        <v>15650.635199999999</v>
      </c>
      <c r="E17" s="481">
        <f>(D17*12)/1672*1</f>
        <v>112.32513301435407</v>
      </c>
      <c r="F17" s="232"/>
    </row>
    <row r="18" spans="1:8" ht="13" customHeight="1" thickBot="1"/>
    <row r="19" spans="1:8" ht="19" thickBot="1">
      <c r="A19" s="1184" t="s">
        <v>153</v>
      </c>
      <c r="B19" s="1185"/>
      <c r="C19" s="1185"/>
      <c r="D19" s="1185"/>
      <c r="E19" s="1243"/>
    </row>
    <row r="20" spans="1:8" ht="30" customHeight="1">
      <c r="A20" s="369" t="s">
        <v>138</v>
      </c>
      <c r="B20" s="433" t="s">
        <v>100</v>
      </c>
      <c r="C20" s="434" t="s">
        <v>100</v>
      </c>
      <c r="D20" s="434" t="s">
        <v>101</v>
      </c>
      <c r="E20" s="371" t="s">
        <v>139</v>
      </c>
    </row>
    <row r="21" spans="1:8" ht="16" customHeight="1" thickBot="1">
      <c r="A21" s="372"/>
      <c r="B21" s="368">
        <v>40999</v>
      </c>
      <c r="C21" s="342">
        <f>'Løntabel gældende fra'!C7</f>
        <v>44652</v>
      </c>
      <c r="D21" s="342">
        <f>'Løntabel gældende fra'!C7</f>
        <v>44652</v>
      </c>
      <c r="E21" s="425" t="s">
        <v>140</v>
      </c>
    </row>
    <row r="22" spans="1:8" ht="16" customHeight="1" thickBot="1">
      <c r="A22" s="230" t="s">
        <v>143</v>
      </c>
      <c r="B22" s="392">
        <f>12*18700</f>
        <v>224400</v>
      </c>
      <c r="C22" s="234">
        <f>B22+(B22*'Løntabel gældende fra'!$D$7%)</f>
        <v>254492.9376</v>
      </c>
      <c r="D22" s="235">
        <f>C22/12</f>
        <v>21207.7448</v>
      </c>
      <c r="E22" s="487">
        <f>(D22*12)/1672*1</f>
        <v>152.20869473684212</v>
      </c>
      <c r="F22" s="226"/>
      <c r="G22" s="226"/>
    </row>
    <row r="23" spans="1:8" s="426" customFormat="1" ht="12" customHeight="1" thickBot="1">
      <c r="A23" s="43"/>
      <c r="B23" s="280"/>
      <c r="C23" s="280"/>
      <c r="D23" s="280"/>
      <c r="E23" s="231"/>
      <c r="F23" s="427"/>
      <c r="G23" s="427"/>
    </row>
    <row r="24" spans="1:8" ht="19" thickBot="1">
      <c r="A24" s="1184" t="s">
        <v>155</v>
      </c>
      <c r="B24" s="1185"/>
      <c r="C24" s="1185"/>
      <c r="D24" s="1185"/>
      <c r="E24" s="1243"/>
      <c r="F24" s="219"/>
      <c r="G24" s="219"/>
      <c r="H24" s="219"/>
    </row>
    <row r="25" spans="1:8" ht="31" customHeight="1" thickBot="1">
      <c r="A25" s="1149" t="s">
        <v>138</v>
      </c>
      <c r="B25" s="1178" t="s">
        <v>20</v>
      </c>
      <c r="C25" s="435" t="s">
        <v>232</v>
      </c>
      <c r="D25" s="436">
        <v>0.17299999999999999</v>
      </c>
      <c r="E25" s="443"/>
      <c r="F25" s="437"/>
      <c r="G25" s="440"/>
      <c r="H25" s="441"/>
    </row>
    <row r="26" spans="1:8" ht="45" customHeight="1" thickBot="1">
      <c r="A26" s="1333"/>
      <c r="B26" s="1196"/>
      <c r="C26" s="218" t="s">
        <v>21</v>
      </c>
      <c r="D26" s="439" t="s">
        <v>233</v>
      </c>
      <c r="E26" s="434" t="s">
        <v>22</v>
      </c>
      <c r="F26" s="1822"/>
      <c r="G26" s="1822"/>
      <c r="H26" s="442"/>
    </row>
    <row r="27" spans="1:8" ht="16" customHeight="1">
      <c r="A27" s="379">
        <v>1</v>
      </c>
      <c r="B27" s="171">
        <f>E8</f>
        <v>25710.13768</v>
      </c>
      <c r="C27" s="171">
        <f>E27*1/3</f>
        <v>1482.6179395466663</v>
      </c>
      <c r="D27" s="367">
        <f>E27*2/3</f>
        <v>2965.2358790933326</v>
      </c>
      <c r="E27" s="171">
        <f>B27*$D$25</f>
        <v>4447.8538186399992</v>
      </c>
      <c r="F27" s="437"/>
      <c r="G27" s="438"/>
      <c r="H27" s="272"/>
    </row>
    <row r="28" spans="1:8" ht="16" customHeight="1">
      <c r="A28" s="444">
        <v>2</v>
      </c>
      <c r="B28" s="193">
        <f>E9</f>
        <v>28692.831200000001</v>
      </c>
      <c r="C28" s="193">
        <f>E28*1/3</f>
        <v>1654.6199325333334</v>
      </c>
      <c r="D28" s="376">
        <f>E28*2/3</f>
        <v>3309.2398650666669</v>
      </c>
      <c r="E28" s="193">
        <f>B28*$D$25</f>
        <v>4963.8597976000001</v>
      </c>
      <c r="F28" s="437"/>
      <c r="G28" s="438"/>
      <c r="H28" s="272"/>
    </row>
    <row r="29" spans="1:8" ht="16" customHeight="1">
      <c r="A29" s="444">
        <v>3</v>
      </c>
      <c r="B29" s="193">
        <f>E10</f>
        <v>31664.183680000002</v>
      </c>
      <c r="C29" s="193">
        <f>E29*1/3</f>
        <v>1825.9679255466665</v>
      </c>
      <c r="D29" s="376">
        <f>E29*2/3</f>
        <v>3651.935851093333</v>
      </c>
      <c r="E29" s="193">
        <f>B29*$D$25</f>
        <v>5477.9037766399997</v>
      </c>
      <c r="F29" s="437"/>
      <c r="G29" s="438"/>
      <c r="H29" s="272"/>
    </row>
    <row r="30" spans="1:8" ht="16" customHeight="1" thickBot="1">
      <c r="A30" s="381">
        <v>4</v>
      </c>
      <c r="B30" s="172">
        <f>E11</f>
        <v>33115.836799999997</v>
      </c>
      <c r="C30" s="172">
        <f>E30*1/3</f>
        <v>1909.6799221333331</v>
      </c>
      <c r="D30" s="374">
        <f>E30*2/3</f>
        <v>3819.3598442666662</v>
      </c>
      <c r="E30" s="172">
        <f>B30*$D$25</f>
        <v>5729.0397663999993</v>
      </c>
      <c r="F30" s="437"/>
      <c r="G30" s="438"/>
      <c r="H30" s="272"/>
    </row>
    <row r="31" spans="1:8" ht="12" customHeight="1" thickBot="1">
      <c r="A31" s="43"/>
      <c r="B31" s="236"/>
      <c r="C31" s="236"/>
      <c r="D31" s="236"/>
      <c r="E31" s="231"/>
      <c r="F31" s="226"/>
      <c r="G31" s="226"/>
    </row>
    <row r="32" spans="1:8" ht="26.25" customHeight="1" thickBot="1">
      <c r="A32" s="1823" t="s">
        <v>156</v>
      </c>
      <c r="B32" s="1824"/>
      <c r="C32" s="1824"/>
      <c r="D32" s="1824"/>
      <c r="E32" s="1825"/>
      <c r="F32" s="116" t="s">
        <v>92</v>
      </c>
      <c r="G32" s="226"/>
    </row>
    <row r="33" spans="1:8" ht="29" customHeight="1" thickBot="1">
      <c r="A33" s="1168" t="s">
        <v>154</v>
      </c>
      <c r="B33" s="1169"/>
      <c r="C33" s="1169"/>
      <c r="D33" s="1169"/>
      <c r="E33" s="1817"/>
      <c r="F33" s="479">
        <v>160</v>
      </c>
      <c r="G33" s="226"/>
    </row>
    <row r="34" spans="1:8" ht="4.5" customHeight="1">
      <c r="A34" s="431"/>
      <c r="B34" s="431"/>
      <c r="C34" s="431"/>
      <c r="D34" s="431"/>
      <c r="E34" s="431"/>
      <c r="F34" s="432"/>
      <c r="G34" s="226"/>
    </row>
    <row r="35" spans="1:8" s="255" customFormat="1" ht="28" customHeight="1">
      <c r="A35" s="1819" t="s">
        <v>145</v>
      </c>
      <c r="B35" s="1819"/>
      <c r="C35" s="1819"/>
      <c r="D35" s="1819"/>
      <c r="E35" s="1819"/>
      <c r="F35" s="1819"/>
      <c r="G35" s="1819"/>
    </row>
    <row r="36" spans="1:8" s="255" customFormat="1" ht="30" customHeight="1">
      <c r="A36" s="1820" t="s">
        <v>146</v>
      </c>
      <c r="B36" s="1820"/>
      <c r="C36" s="1820"/>
      <c r="D36" s="1820"/>
      <c r="E36" s="1820"/>
      <c r="F36" s="1820"/>
      <c r="G36" s="1820"/>
      <c r="H36" s="445"/>
    </row>
    <row r="37" spans="1:8" s="255" customFormat="1" ht="32.25" customHeight="1">
      <c r="A37" s="1821" t="s">
        <v>147</v>
      </c>
      <c r="B37" s="1821"/>
      <c r="C37" s="1821"/>
      <c r="D37" s="1821"/>
      <c r="E37" s="1821"/>
      <c r="F37" s="1821"/>
      <c r="G37" s="1821"/>
    </row>
    <row r="38" spans="1:8" s="238" customFormat="1">
      <c r="A38" s="237"/>
      <c r="B38" s="237"/>
      <c r="D38" s="239"/>
      <c r="F38" s="240"/>
      <c r="G38" s="240"/>
    </row>
    <row r="39" spans="1:8" s="238" customFormat="1">
      <c r="A39" s="241"/>
      <c r="B39" s="241"/>
      <c r="D39" s="239"/>
      <c r="F39" s="240"/>
      <c r="G39" s="240"/>
    </row>
    <row r="40" spans="1:8" s="238" customFormat="1">
      <c r="A40" s="241"/>
      <c r="B40" s="241"/>
      <c r="C40" s="242"/>
      <c r="D40" s="239"/>
      <c r="F40" s="240"/>
      <c r="G40" s="240"/>
    </row>
    <row r="41" spans="1:8" s="238" customFormat="1">
      <c r="C41" s="243"/>
      <c r="D41" s="239"/>
      <c r="F41" s="240"/>
      <c r="G41" s="240"/>
    </row>
    <row r="42" spans="1:8" s="238" customFormat="1">
      <c r="C42" s="243"/>
      <c r="D42" s="239"/>
      <c r="F42" s="240"/>
      <c r="G42" s="240"/>
    </row>
    <row r="43" spans="1:8" s="238" customFormat="1">
      <c r="C43" s="243"/>
      <c r="D43" s="239"/>
      <c r="F43" s="240"/>
      <c r="G43" s="240"/>
    </row>
    <row r="44" spans="1:8" s="238" customFormat="1">
      <c r="C44" s="244"/>
      <c r="D44" s="239"/>
      <c r="F44" s="240"/>
      <c r="G44" s="240"/>
    </row>
    <row r="45" spans="1:8" s="238" customFormat="1">
      <c r="D45" s="239"/>
      <c r="F45" s="240"/>
      <c r="G45" s="240"/>
    </row>
  </sheetData>
  <sheetProtection password="CA9C" sheet="1" objects="1" scenarios="1"/>
  <mergeCells count="18">
    <mergeCell ref="A35:G35"/>
    <mergeCell ref="A36:G36"/>
    <mergeCell ref="A37:G37"/>
    <mergeCell ref="F26:G26"/>
    <mergeCell ref="B6:B7"/>
    <mergeCell ref="A32:E32"/>
    <mergeCell ref="A1:G1"/>
    <mergeCell ref="A2:G2"/>
    <mergeCell ref="A3:G3"/>
    <mergeCell ref="A33:E33"/>
    <mergeCell ref="B25:B26"/>
    <mergeCell ref="A24:E24"/>
    <mergeCell ref="A13:E13"/>
    <mergeCell ref="A19:E19"/>
    <mergeCell ref="A6:A7"/>
    <mergeCell ref="A14:A15"/>
    <mergeCell ref="A4:G4"/>
    <mergeCell ref="A25:A26"/>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68"/>
  <sheetViews>
    <sheetView view="pageBreakPreview" zoomScaleNormal="125" zoomScaleSheetLayoutView="100" zoomScalePageLayoutView="125" workbookViewId="0">
      <selection activeCell="C11" sqref="C11"/>
    </sheetView>
  </sheetViews>
  <sheetFormatPr baseColWidth="10" defaultColWidth="8.83203125" defaultRowHeight="13"/>
  <cols>
    <col min="1" max="1" width="9" style="225" customWidth="1"/>
    <col min="2" max="2" width="11.6640625" style="225" customWidth="1"/>
    <col min="3" max="3" width="11.1640625" style="225" customWidth="1"/>
    <col min="4" max="4" width="11.33203125" style="225" customWidth="1"/>
    <col min="5" max="6" width="10.6640625" style="225" customWidth="1"/>
    <col min="7" max="7" width="11.33203125" style="225" customWidth="1"/>
    <col min="8" max="8" width="11.1640625" style="225" customWidth="1"/>
    <col min="9" max="9" width="11.33203125" style="225" customWidth="1"/>
    <col min="10" max="10" width="10.5" style="225" customWidth="1"/>
    <col min="11" max="16384" width="8.83203125" style="225"/>
  </cols>
  <sheetData>
    <row r="1" spans="1:16" ht="20">
      <c r="A1" s="1263" t="s">
        <v>19</v>
      </c>
      <c r="B1" s="1264"/>
      <c r="C1" s="1264"/>
      <c r="D1" s="1264"/>
      <c r="E1" s="1264"/>
      <c r="F1" s="1264"/>
      <c r="G1" s="1264"/>
      <c r="H1" s="1264"/>
      <c r="I1" s="1264"/>
      <c r="J1" s="1265"/>
    </row>
    <row r="2" spans="1:16" ht="38" customHeight="1">
      <c r="A2" s="1805" t="s">
        <v>190</v>
      </c>
      <c r="B2" s="1806"/>
      <c r="C2" s="1806"/>
      <c r="D2" s="1806"/>
      <c r="E2" s="1806"/>
      <c r="F2" s="1806"/>
      <c r="G2" s="1806"/>
      <c r="H2" s="1806"/>
      <c r="I2" s="1806"/>
      <c r="J2" s="1807"/>
    </row>
    <row r="3" spans="1:16" ht="20">
      <c r="A3" s="1276" t="str">
        <f>'Forside 1'!A6:I6</f>
        <v>Gældende fra 1. maj 2022</v>
      </c>
      <c r="B3" s="1277"/>
      <c r="C3" s="1277"/>
      <c r="D3" s="1277"/>
      <c r="E3" s="1277"/>
      <c r="F3" s="1277"/>
      <c r="G3" s="1277"/>
      <c r="H3" s="1277"/>
      <c r="I3" s="1277"/>
      <c r="J3" s="1278"/>
    </row>
    <row r="4" spans="1:16" ht="17" customHeight="1">
      <c r="A4" s="1841" t="s">
        <v>491</v>
      </c>
      <c r="B4" s="1842"/>
      <c r="C4" s="1842"/>
      <c r="D4" s="1842"/>
      <c r="E4" s="1842"/>
      <c r="F4" s="1842"/>
      <c r="G4" s="1842"/>
      <c r="H4" s="1842"/>
      <c r="I4" s="1842"/>
      <c r="J4" s="1843"/>
    </row>
    <row r="5" spans="1:16" ht="8" customHeight="1">
      <c r="A5" s="1841" t="s">
        <v>490</v>
      </c>
      <c r="B5" s="1842"/>
      <c r="C5" s="1842"/>
      <c r="D5" s="1842"/>
      <c r="E5" s="1842"/>
      <c r="F5" s="1842"/>
      <c r="G5" s="1842"/>
      <c r="H5" s="1842"/>
      <c r="I5" s="1842"/>
      <c r="J5" s="1843"/>
      <c r="L5" s="256"/>
      <c r="M5" s="255"/>
      <c r="N5" s="255"/>
      <c r="O5" s="255"/>
      <c r="P5" s="255"/>
    </row>
    <row r="6" spans="1:16" ht="7" customHeight="1" thickBot="1">
      <c r="A6" s="1844"/>
      <c r="B6" s="1845"/>
      <c r="C6" s="1845"/>
      <c r="D6" s="1845"/>
      <c r="E6" s="1845"/>
      <c r="F6" s="1845"/>
      <c r="G6" s="1845"/>
      <c r="H6" s="1845"/>
      <c r="I6" s="1845"/>
      <c r="J6" s="1846"/>
      <c r="L6" s="256"/>
      <c r="M6" s="255"/>
      <c r="N6" s="255"/>
      <c r="O6" s="255"/>
      <c r="P6" s="255"/>
    </row>
    <row r="7" spans="1:16" s="426" customFormat="1" ht="18" customHeight="1" thickBot="1">
      <c r="A7" s="579"/>
      <c r="B7" s="579"/>
      <c r="C7" s="579"/>
      <c r="D7" s="579"/>
      <c r="E7" s="579"/>
      <c r="F7" s="579"/>
      <c r="G7" s="580"/>
      <c r="H7" s="580"/>
      <c r="I7" s="580"/>
      <c r="J7" s="580"/>
      <c r="L7" s="581"/>
      <c r="M7" s="582"/>
      <c r="N7" s="582"/>
      <c r="O7" s="582"/>
      <c r="P7" s="582"/>
    </row>
    <row r="8" spans="1:16" ht="21" customHeight="1" thickBot="1">
      <c r="A8" s="1808" t="s">
        <v>485</v>
      </c>
      <c r="B8" s="1809"/>
      <c r="C8" s="1809"/>
      <c r="D8" s="1809"/>
      <c r="E8" s="1809"/>
      <c r="F8" s="1810"/>
      <c r="G8" s="1679" t="s">
        <v>168</v>
      </c>
      <c r="H8" s="1680"/>
      <c r="I8" s="1680"/>
      <c r="J8" s="1681"/>
      <c r="L8" s="256"/>
      <c r="M8" s="255"/>
      <c r="N8" s="255"/>
      <c r="O8" s="255"/>
      <c r="P8" s="255"/>
    </row>
    <row r="9" spans="1:16" ht="28">
      <c r="A9" s="472" t="s">
        <v>57</v>
      </c>
      <c r="B9" s="472" t="s">
        <v>75</v>
      </c>
      <c r="C9" s="475" t="s">
        <v>76</v>
      </c>
      <c r="D9" s="472" t="s">
        <v>77</v>
      </c>
      <c r="E9" s="472" t="s">
        <v>78</v>
      </c>
      <c r="F9" s="472" t="s">
        <v>79</v>
      </c>
      <c r="G9" s="476" t="s">
        <v>185</v>
      </c>
      <c r="H9" s="477" t="s">
        <v>187</v>
      </c>
      <c r="I9" s="477" t="s">
        <v>188</v>
      </c>
      <c r="J9" s="478">
        <v>0.14499999999999999</v>
      </c>
    </row>
    <row r="10" spans="1:16" ht="16" customHeight="1">
      <c r="A10" s="308">
        <v>14</v>
      </c>
      <c r="B10" s="652">
        <f>'Statens skalatrin'!D46</f>
        <v>21511.25</v>
      </c>
      <c r="C10" s="652">
        <f>'Statens skalatrin'!F46</f>
        <v>21959.17</v>
      </c>
      <c r="D10" s="652">
        <f>'Statens skalatrin'!H46</f>
        <v>22269.25</v>
      </c>
      <c r="E10" s="652">
        <f>'Statens skalatrin'!J46</f>
        <v>22717.17</v>
      </c>
      <c r="F10" s="652">
        <f>'Statens skalatrin'!L46</f>
        <v>23027.25</v>
      </c>
      <c r="G10" s="1833">
        <f>'Statens skalatrin'!O46</f>
        <v>20112.32</v>
      </c>
      <c r="H10" s="1833">
        <f>ROUND(J10*1/3,2)</f>
        <v>972.1</v>
      </c>
      <c r="I10" s="1833">
        <f>ROUND(J10*2/3,2)</f>
        <v>1944.19</v>
      </c>
      <c r="J10" s="1833">
        <f>ROUND(G10*$J$9,2)</f>
        <v>2916.29</v>
      </c>
    </row>
    <row r="11" spans="1:16" ht="16" customHeight="1">
      <c r="A11" s="385" t="s">
        <v>230</v>
      </c>
      <c r="B11" s="498">
        <f>B10+($F$20/12)</f>
        <v>21696.203333333335</v>
      </c>
      <c r="C11" s="498">
        <f t="shared" ref="C11:F11" si="0">C10+($F$20/12)</f>
        <v>22144.123333333333</v>
      </c>
      <c r="D11" s="498">
        <f t="shared" si="0"/>
        <v>22454.203333333335</v>
      </c>
      <c r="E11" s="498">
        <f t="shared" si="0"/>
        <v>22902.123333333333</v>
      </c>
      <c r="F11" s="498">
        <f t="shared" si="0"/>
        <v>23212.203333333335</v>
      </c>
      <c r="G11" s="1834"/>
      <c r="H11" s="1834"/>
      <c r="I11" s="1834"/>
      <c r="J11" s="1834"/>
    </row>
    <row r="12" spans="1:16" ht="16" customHeight="1">
      <c r="A12" s="308">
        <v>17</v>
      </c>
      <c r="B12" s="498">
        <f>'Statens skalatrin'!D55</f>
        <v>22588.080000000002</v>
      </c>
      <c r="C12" s="498">
        <f>'Statens skalatrin'!F55</f>
        <v>23070.92</v>
      </c>
      <c r="D12" s="653">
        <f>'Statens skalatrin'!H55</f>
        <v>23405.17</v>
      </c>
      <c r="E12" s="498">
        <f>'Statens skalatrin'!J55</f>
        <v>23887.919999999998</v>
      </c>
      <c r="F12" s="498">
        <f>'Statens skalatrin'!L55</f>
        <v>24222</v>
      </c>
      <c r="G12" s="1057">
        <f>'Statens skalatrin'!O55</f>
        <v>21214.74</v>
      </c>
      <c r="H12" s="1056">
        <f>ROUND(J12*1/3,2)</f>
        <v>1025.3800000000001</v>
      </c>
      <c r="I12" s="1056">
        <f>ROUND(J12*2/3,2)</f>
        <v>2050.7600000000002</v>
      </c>
      <c r="J12" s="1056">
        <f>ROUND(G12*$J$9,2)</f>
        <v>3076.14</v>
      </c>
    </row>
    <row r="13" spans="1:16" ht="16" customHeight="1">
      <c r="A13" s="1055">
        <v>21</v>
      </c>
      <c r="B13" s="653">
        <f>'Statens skalatrin'!D67</f>
        <v>24023.33</v>
      </c>
      <c r="C13" s="653">
        <f>'Statens skalatrin'!F67</f>
        <v>24557.25</v>
      </c>
      <c r="D13" s="653">
        <f>'Statens skalatrin'!H67</f>
        <v>24926.83</v>
      </c>
      <c r="E13" s="653">
        <f>'Statens skalatrin'!J67</f>
        <v>25460.75</v>
      </c>
      <c r="F13" s="653">
        <f>'Statens skalatrin'!L67</f>
        <v>25830.33</v>
      </c>
      <c r="G13" s="1833">
        <f>'Statens skalatrin'!O67</f>
        <v>22831.72</v>
      </c>
      <c r="H13" s="1833">
        <f>ROUND(J13*1/3,2)</f>
        <v>1103.53</v>
      </c>
      <c r="I13" s="1833">
        <f>ROUND(J13*2/3,2)</f>
        <v>2207.0700000000002</v>
      </c>
      <c r="J13" s="1833">
        <f>ROUND(G13*$J$9,2)</f>
        <v>3310.6</v>
      </c>
    </row>
    <row r="14" spans="1:16" ht="16" customHeight="1" thickBot="1">
      <c r="A14" s="1069" t="s">
        <v>529</v>
      </c>
      <c r="B14" s="654">
        <f>B13+($F$21/12)</f>
        <v>24212.347500000003</v>
      </c>
      <c r="C14" s="654">
        <f>C13+($F$21/12)</f>
        <v>24746.267500000002</v>
      </c>
      <c r="D14" s="654">
        <f>D13+($F$21/12)</f>
        <v>25115.847500000003</v>
      </c>
      <c r="E14" s="654">
        <f>E13+($F$21/12)</f>
        <v>25649.767500000002</v>
      </c>
      <c r="F14" s="654">
        <f>F13+($F$21/12)</f>
        <v>26019.347500000003</v>
      </c>
      <c r="G14" s="1862"/>
      <c r="H14" s="1862"/>
      <c r="I14" s="1862"/>
      <c r="J14" s="1862"/>
    </row>
    <row r="15" spans="1:16" ht="17" customHeight="1" thickBot="1">
      <c r="A15" s="255"/>
      <c r="B15" s="249"/>
      <c r="C15" s="249"/>
      <c r="D15" s="249"/>
      <c r="E15" s="249"/>
      <c r="F15" s="249"/>
      <c r="G15" s="273"/>
      <c r="H15" s="274"/>
      <c r="I15" s="275"/>
      <c r="J15" s="275"/>
    </row>
    <row r="16" spans="1:16" ht="21" customHeight="1">
      <c r="A16" s="1171" t="s">
        <v>163</v>
      </c>
      <c r="B16" s="1172"/>
      <c r="C16" s="1172"/>
      <c r="D16" s="1172"/>
      <c r="E16" s="1172"/>
      <c r="F16" s="1173"/>
      <c r="G16" s="219"/>
      <c r="H16" s="219"/>
      <c r="I16" s="219"/>
      <c r="J16" s="245"/>
    </row>
    <row r="17" spans="1:10" ht="21" customHeight="1" thickBot="1">
      <c r="A17" s="1260" t="s">
        <v>486</v>
      </c>
      <c r="B17" s="1261"/>
      <c r="C17" s="1261"/>
      <c r="D17" s="1261"/>
      <c r="E17" s="1261"/>
      <c r="F17" s="1262"/>
      <c r="G17" s="219"/>
      <c r="H17" s="219"/>
      <c r="I17" s="219"/>
      <c r="J17" s="245"/>
    </row>
    <row r="18" spans="1:10" ht="27" customHeight="1">
      <c r="A18" s="1852" t="s">
        <v>528</v>
      </c>
      <c r="B18" s="1853"/>
      <c r="C18" s="1853"/>
      <c r="D18" s="1853"/>
      <c r="E18" s="1016" t="s">
        <v>131</v>
      </c>
      <c r="F18" s="1017" t="s">
        <v>340</v>
      </c>
      <c r="G18" s="266"/>
      <c r="H18" s="255"/>
      <c r="I18" s="255"/>
      <c r="J18" s="245"/>
    </row>
    <row r="19" spans="1:10" ht="15" customHeight="1">
      <c r="A19" s="1785"/>
      <c r="B19" s="1786"/>
      <c r="C19" s="1786"/>
      <c r="D19" s="1786"/>
      <c r="E19" s="583">
        <v>40999</v>
      </c>
      <c r="F19" s="1035" t="str">
        <f>'Løntabel gældende fra'!D1</f>
        <v>01/04/2022</v>
      </c>
      <c r="G19" s="266"/>
      <c r="H19" s="255"/>
      <c r="I19" s="255"/>
      <c r="J19" s="245"/>
    </row>
    <row r="20" spans="1:10" ht="15" customHeight="1">
      <c r="A20" s="1795" t="s">
        <v>526</v>
      </c>
      <c r="B20" s="1796"/>
      <c r="C20" s="1796"/>
      <c r="D20" s="1865"/>
      <c r="E20" s="1053">
        <v>1957</v>
      </c>
      <c r="F20" s="1054">
        <f>ROUND(E20+(E20*'Løntabel gældende fra'!$D$7%),2)</f>
        <v>2219.44</v>
      </c>
      <c r="G20" s="266"/>
      <c r="H20" s="255"/>
      <c r="I20" s="255"/>
      <c r="J20" s="245"/>
    </row>
    <row r="21" spans="1:10" ht="16" customHeight="1" thickBot="1">
      <c r="A21" s="1223" t="s">
        <v>527</v>
      </c>
      <c r="B21" s="1224"/>
      <c r="C21" s="1224"/>
      <c r="D21" s="1225"/>
      <c r="E21" s="1051">
        <v>2000</v>
      </c>
      <c r="F21" s="1052">
        <f>ROUND(E21+(E21*'Løntabel gældende fra'!$D$7%),2)</f>
        <v>2268.21</v>
      </c>
      <c r="G21" s="266"/>
      <c r="H21" s="255"/>
      <c r="I21" s="255"/>
      <c r="J21" s="245"/>
    </row>
    <row r="22" spans="1:10" ht="16" customHeight="1" thickBot="1">
      <c r="A22" s="1863"/>
      <c r="B22" s="1864"/>
      <c r="C22" s="1864"/>
      <c r="D22" s="1864"/>
      <c r="E22" s="1864"/>
      <c r="F22" s="1864"/>
      <c r="G22" s="1864"/>
      <c r="H22" s="1864"/>
      <c r="I22" s="1864"/>
      <c r="J22" s="1864"/>
    </row>
    <row r="23" spans="1:10" s="550" customFormat="1" ht="27" customHeight="1">
      <c r="A23" s="1151" t="s">
        <v>192</v>
      </c>
      <c r="B23" s="1289"/>
      <c r="C23" s="1289"/>
      <c r="D23" s="1289"/>
      <c r="E23" s="1289"/>
      <c r="F23" s="1289"/>
      <c r="G23" s="1290"/>
      <c r="H23" s="245"/>
    </row>
    <row r="24" spans="1:10" s="550" customFormat="1" ht="16" customHeight="1" thickBot="1">
      <c r="A24" s="1161" t="s">
        <v>312</v>
      </c>
      <c r="B24" s="1162"/>
      <c r="C24" s="1162"/>
      <c r="D24" s="1162"/>
      <c r="E24" s="1162"/>
      <c r="F24" s="1162"/>
      <c r="G24" s="1163"/>
      <c r="H24" s="245"/>
    </row>
    <row r="25" spans="1:10" s="245" customFormat="1" ht="16">
      <c r="A25" s="1696"/>
      <c r="B25" s="1697"/>
      <c r="C25" s="1698"/>
      <c r="D25" s="1761" t="s">
        <v>341</v>
      </c>
      <c r="E25" s="1761"/>
      <c r="F25" s="1677" t="s">
        <v>342</v>
      </c>
      <c r="G25" s="1678"/>
    </row>
    <row r="26" spans="1:10" s="245" customFormat="1" ht="13" customHeight="1" thickBot="1">
      <c r="A26" s="1699"/>
      <c r="B26" s="1700"/>
      <c r="C26" s="1701"/>
      <c r="D26" s="1684">
        <v>40999</v>
      </c>
      <c r="E26" s="1685"/>
      <c r="F26" s="1675" t="str">
        <f>'Løntabel gældende fra'!$D$1</f>
        <v>01/04/2022</v>
      </c>
      <c r="G26" s="1676"/>
    </row>
    <row r="27" spans="1:10" s="245" customFormat="1" ht="16" customHeight="1" thickBot="1">
      <c r="A27" s="1835" t="s">
        <v>162</v>
      </c>
      <c r="B27" s="1836"/>
      <c r="C27" s="1837"/>
      <c r="D27" s="1838">
        <v>148</v>
      </c>
      <c r="E27" s="1839"/>
      <c r="F27" s="1840">
        <f>ROUND(+D27*(1+'Løntabel gældende fra'!$D$7/100),2)</f>
        <v>167.85</v>
      </c>
      <c r="G27" s="1839"/>
    </row>
    <row r="28" spans="1:10" ht="15" customHeight="1" thickBot="1">
      <c r="A28" s="264"/>
      <c r="B28" s="263"/>
      <c r="C28" s="263"/>
      <c r="D28" s="263"/>
      <c r="E28" s="263"/>
      <c r="F28" s="263"/>
      <c r="G28" s="255"/>
      <c r="H28" s="254"/>
      <c r="I28" s="254"/>
      <c r="J28" s="245"/>
    </row>
    <row r="29" spans="1:10" s="550" customFormat="1" ht="27" customHeight="1">
      <c r="A29" s="1151" t="s">
        <v>503</v>
      </c>
      <c r="B29" s="1289"/>
      <c r="C29" s="1289"/>
      <c r="D29" s="1289"/>
      <c r="E29" s="1289"/>
      <c r="F29" s="1289"/>
      <c r="G29" s="1290"/>
      <c r="H29" s="245"/>
    </row>
    <row r="30" spans="1:10" s="550" customFormat="1" ht="16" customHeight="1" thickBot="1">
      <c r="A30" s="1161" t="s">
        <v>312</v>
      </c>
      <c r="B30" s="1162"/>
      <c r="C30" s="1162"/>
      <c r="D30" s="1162"/>
      <c r="E30" s="1162"/>
      <c r="F30" s="1162"/>
      <c r="G30" s="1163"/>
      <c r="H30" s="245"/>
    </row>
    <row r="31" spans="1:10" s="245" customFormat="1" ht="16">
      <c r="A31" s="1696"/>
      <c r="B31" s="1697"/>
      <c r="C31" s="1698"/>
      <c r="D31" s="1761" t="s">
        <v>341</v>
      </c>
      <c r="E31" s="1761"/>
      <c r="F31" s="1677" t="s">
        <v>342</v>
      </c>
      <c r="G31" s="1678"/>
    </row>
    <row r="32" spans="1:10" s="245" customFormat="1" ht="13" customHeight="1" thickBot="1">
      <c r="A32" s="1699"/>
      <c r="B32" s="1700"/>
      <c r="C32" s="1701"/>
      <c r="D32" s="1684">
        <v>40999</v>
      </c>
      <c r="E32" s="1685"/>
      <c r="F32" s="1675" t="str">
        <f>'Løntabel gældende fra'!$D$1</f>
        <v>01/04/2022</v>
      </c>
      <c r="G32" s="1676"/>
    </row>
    <row r="33" spans="1:10" s="245" customFormat="1" ht="16" customHeight="1">
      <c r="A33" s="1828" t="s">
        <v>158</v>
      </c>
      <c r="B33" s="1829"/>
      <c r="C33" s="1830"/>
      <c r="D33" s="1831">
        <f>D27*66%</f>
        <v>97.68</v>
      </c>
      <c r="E33" s="1832"/>
      <c r="F33" s="1831">
        <f>F27*66%</f>
        <v>110.78100000000001</v>
      </c>
      <c r="G33" s="1832"/>
    </row>
    <row r="34" spans="1:10" s="245" customFormat="1" ht="16" customHeight="1" thickBot="1">
      <c r="A34" s="1689" t="s">
        <v>159</v>
      </c>
      <c r="B34" s="1690"/>
      <c r="C34" s="1691"/>
      <c r="D34" s="1826">
        <f>D27*74%</f>
        <v>109.52</v>
      </c>
      <c r="E34" s="1827"/>
      <c r="F34" s="1826">
        <f>F27*74%</f>
        <v>124.20899999999999</v>
      </c>
      <c r="G34" s="1827"/>
    </row>
    <row r="35" spans="1:10" ht="15" customHeight="1" thickBot="1">
      <c r="A35" s="264"/>
      <c r="B35" s="263"/>
      <c r="C35" s="263"/>
      <c r="D35" s="263"/>
      <c r="E35" s="263"/>
      <c r="F35" s="263"/>
      <c r="G35" s="255"/>
      <c r="H35" s="254"/>
      <c r="I35" s="254"/>
      <c r="J35" s="245"/>
    </row>
    <row r="36" spans="1:10" ht="20" customHeight="1">
      <c r="A36" s="1171" t="s">
        <v>172</v>
      </c>
      <c r="B36" s="1172"/>
      <c r="C36" s="1172"/>
      <c r="D36" s="1172"/>
      <c r="E36" s="1172"/>
      <c r="F36" s="1172"/>
      <c r="G36" s="1172"/>
      <c r="H36" s="1172"/>
      <c r="I36" s="1173"/>
      <c r="J36" s="245"/>
    </row>
    <row r="37" spans="1:10" ht="20" customHeight="1" thickBot="1">
      <c r="A37" s="1260" t="s">
        <v>312</v>
      </c>
      <c r="B37" s="1261"/>
      <c r="C37" s="1261"/>
      <c r="D37" s="1261"/>
      <c r="E37" s="1261"/>
      <c r="F37" s="1261"/>
      <c r="G37" s="1261"/>
      <c r="H37" s="1261"/>
      <c r="I37" s="1262"/>
      <c r="J37" s="245"/>
    </row>
    <row r="38" spans="1:10" ht="27" customHeight="1" thickBot="1">
      <c r="A38" s="1847"/>
      <c r="B38" s="1848"/>
      <c r="C38" s="1848"/>
      <c r="D38" s="1848"/>
      <c r="E38" s="1848"/>
      <c r="F38" s="1848"/>
      <c r="G38" s="1848"/>
      <c r="H38" s="645" t="s">
        <v>341</v>
      </c>
      <c r="I38" s="648" t="s">
        <v>342</v>
      </c>
      <c r="J38" s="245"/>
    </row>
    <row r="39" spans="1:10" ht="15" customHeight="1" thickBot="1">
      <c r="A39" s="1792"/>
      <c r="B39" s="1793"/>
      <c r="C39" s="1793"/>
      <c r="D39" s="1793"/>
      <c r="E39" s="1793"/>
      <c r="F39" s="1793"/>
      <c r="G39" s="1794"/>
      <c r="H39" s="586">
        <v>40999</v>
      </c>
      <c r="I39" s="587" t="str">
        <f>'Løntabel gældende fra'!D1</f>
        <v>01/04/2022</v>
      </c>
      <c r="J39" s="245"/>
    </row>
    <row r="40" spans="1:10" ht="15" customHeight="1">
      <c r="A40" s="1795" t="s">
        <v>173</v>
      </c>
      <c r="B40" s="1796"/>
      <c r="C40" s="1796"/>
      <c r="D40" s="1796"/>
      <c r="E40" s="1796"/>
      <c r="F40" s="250"/>
      <c r="G40" s="252" t="s">
        <v>165</v>
      </c>
      <c r="H40" s="315">
        <v>22.32</v>
      </c>
      <c r="I40" s="941">
        <f>ROUND(H40+(H40*'Løntabel gældende fra'!$D$7%),2)</f>
        <v>25.31</v>
      </c>
      <c r="J40" s="245"/>
    </row>
    <row r="41" spans="1:10" ht="15" customHeight="1">
      <c r="A41" s="1803" t="s">
        <v>174</v>
      </c>
      <c r="B41" s="1804"/>
      <c r="C41" s="1804"/>
      <c r="D41" s="1804"/>
      <c r="E41" s="1804"/>
      <c r="F41" s="557"/>
      <c r="G41" s="253" t="s">
        <v>165</v>
      </c>
      <c r="H41" s="317">
        <v>39.92</v>
      </c>
      <c r="I41" s="942">
        <f>ROUND(H41+(H41*'Løntabel gældende fra'!$D$7%),2)</f>
        <v>45.27</v>
      </c>
      <c r="J41" s="245"/>
    </row>
    <row r="42" spans="1:10" ht="26" customHeight="1">
      <c r="A42" s="1795" t="s">
        <v>175</v>
      </c>
      <c r="B42" s="1796"/>
      <c r="C42" s="1796"/>
      <c r="D42" s="1796"/>
      <c r="E42" s="1796"/>
      <c r="F42" s="1796"/>
      <c r="G42" s="253" t="s">
        <v>165</v>
      </c>
      <c r="H42" s="317">
        <v>39.92</v>
      </c>
      <c r="I42" s="942">
        <f>ROUND(H42+(H42*'Løntabel gældende fra'!$D$7%),2)</f>
        <v>45.27</v>
      </c>
      <c r="J42" s="245"/>
    </row>
    <row r="43" spans="1:10" ht="15" customHeight="1" thickBot="1">
      <c r="A43" s="284" t="s">
        <v>164</v>
      </c>
      <c r="B43" s="283"/>
      <c r="C43" s="283"/>
      <c r="D43" s="283"/>
      <c r="E43" s="267"/>
      <c r="F43" s="267"/>
      <c r="G43" s="278" t="s">
        <v>165</v>
      </c>
      <c r="H43" s="319">
        <v>39.92</v>
      </c>
      <c r="I43" s="943">
        <f>ROUND(H43+(H43*'Løntabel gældende fra'!$D$7%),2)</f>
        <v>45.27</v>
      </c>
      <c r="J43" s="245"/>
    </row>
    <row r="44" spans="1:10" ht="15" customHeight="1" thickBot="1">
      <c r="A44" s="277"/>
      <c r="B44" s="277"/>
      <c r="C44" s="277"/>
      <c r="D44" s="277"/>
      <c r="E44" s="277"/>
      <c r="F44" s="277"/>
      <c r="G44" s="277"/>
      <c r="H44" s="236"/>
      <c r="I44" s="276"/>
      <c r="J44" s="245"/>
    </row>
    <row r="45" spans="1:10" ht="21" customHeight="1">
      <c r="A45" s="1171" t="s">
        <v>323</v>
      </c>
      <c r="B45" s="1172"/>
      <c r="C45" s="1172"/>
      <c r="D45" s="1172"/>
      <c r="E45" s="1172"/>
      <c r="F45" s="1172"/>
      <c r="G45" s="1172"/>
      <c r="H45" s="1172"/>
      <c r="I45" s="1173"/>
      <c r="J45" s="255"/>
    </row>
    <row r="46" spans="1:10" ht="21" customHeight="1" thickBot="1">
      <c r="A46" s="1260" t="s">
        <v>308</v>
      </c>
      <c r="B46" s="1261"/>
      <c r="C46" s="1261"/>
      <c r="D46" s="1261"/>
      <c r="E46" s="1261"/>
      <c r="F46" s="1261"/>
      <c r="G46" s="1261"/>
      <c r="H46" s="1261"/>
      <c r="I46" s="1262"/>
      <c r="J46" s="255"/>
    </row>
    <row r="47" spans="1:10" ht="27" customHeight="1" thickBot="1">
      <c r="A47" s="1849"/>
      <c r="B47" s="1850"/>
      <c r="C47" s="1850"/>
      <c r="D47" s="1850"/>
      <c r="E47" s="1850"/>
      <c r="F47" s="1850"/>
      <c r="G47" s="1851"/>
      <c r="H47" s="645" t="s">
        <v>341</v>
      </c>
      <c r="I47" s="648" t="s">
        <v>342</v>
      </c>
      <c r="J47" s="255"/>
    </row>
    <row r="48" spans="1:10" ht="15" customHeight="1" thickBot="1">
      <c r="A48" s="1849"/>
      <c r="B48" s="1850"/>
      <c r="C48" s="1850"/>
      <c r="D48" s="1850"/>
      <c r="E48" s="1850"/>
      <c r="F48" s="1850"/>
      <c r="G48" s="1851"/>
      <c r="H48" s="586">
        <v>40999</v>
      </c>
      <c r="I48" s="587" t="str">
        <f>'Løntabel gældende fra'!D1</f>
        <v>01/04/2022</v>
      </c>
      <c r="J48" s="255"/>
    </row>
    <row r="49" spans="1:10" ht="15" customHeight="1" thickBot="1">
      <c r="A49" s="1223" t="s">
        <v>177</v>
      </c>
      <c r="B49" s="1224"/>
      <c r="C49" s="1224"/>
      <c r="D49" s="1224"/>
      <c r="E49" s="1224"/>
      <c r="F49" s="588"/>
      <c r="G49" s="589" t="s">
        <v>165</v>
      </c>
      <c r="H49" s="321">
        <v>6.88</v>
      </c>
      <c r="I49" s="314">
        <f>ROUND(H49+(H49*'Løntabel gældende fra'!D7%),2)</f>
        <v>7.8</v>
      </c>
      <c r="J49" s="255"/>
    </row>
    <row r="50" spans="1:10" ht="15" customHeight="1" thickBot="1">
      <c r="A50" s="1861"/>
      <c r="B50" s="1861"/>
      <c r="C50" s="1861"/>
      <c r="D50" s="1861"/>
      <c r="E50" s="1861"/>
      <c r="F50" s="1861"/>
      <c r="G50" s="1861"/>
      <c r="H50" s="1861"/>
      <c r="I50" s="1861"/>
      <c r="J50" s="255"/>
    </row>
    <row r="51" spans="1:10" ht="21" customHeight="1">
      <c r="A51" s="1171" t="s">
        <v>178</v>
      </c>
      <c r="B51" s="1172"/>
      <c r="C51" s="1172"/>
      <c r="D51" s="1172"/>
      <c r="E51" s="1172"/>
      <c r="F51" s="1172"/>
      <c r="G51" s="1172"/>
      <c r="H51" s="1172"/>
      <c r="I51" s="1173"/>
      <c r="J51" s="255"/>
    </row>
    <row r="52" spans="1:10" ht="21" customHeight="1" thickBot="1">
      <c r="A52" s="1260" t="s">
        <v>312</v>
      </c>
      <c r="B52" s="1261"/>
      <c r="C52" s="1261"/>
      <c r="D52" s="1261"/>
      <c r="E52" s="1261"/>
      <c r="F52" s="1261"/>
      <c r="G52" s="1261"/>
      <c r="H52" s="1261"/>
      <c r="I52" s="1262"/>
      <c r="J52" s="255"/>
    </row>
    <row r="53" spans="1:10" ht="30" customHeight="1">
      <c r="A53" s="1855"/>
      <c r="B53" s="1856"/>
      <c r="C53" s="1856"/>
      <c r="D53" s="1856"/>
      <c r="E53" s="1856"/>
      <c r="F53" s="1856"/>
      <c r="G53" s="1857"/>
      <c r="H53" s="645" t="s">
        <v>131</v>
      </c>
      <c r="I53" s="646" t="s">
        <v>340</v>
      </c>
      <c r="J53" s="255"/>
    </row>
    <row r="54" spans="1:10" ht="15" customHeight="1" thickBot="1">
      <c r="A54" s="1858"/>
      <c r="B54" s="1859"/>
      <c r="C54" s="1859"/>
      <c r="D54" s="1859"/>
      <c r="E54" s="1859"/>
      <c r="F54" s="1859"/>
      <c r="G54" s="1860"/>
      <c r="H54" s="586">
        <v>40999</v>
      </c>
      <c r="I54" s="587" t="str">
        <f>'Løntabel gældende fra'!D1</f>
        <v>01/04/2022</v>
      </c>
      <c r="J54" s="255"/>
    </row>
    <row r="55" spans="1:10" ht="15" customHeight="1" thickBot="1">
      <c r="A55" s="1223" t="s">
        <v>191</v>
      </c>
      <c r="B55" s="1224"/>
      <c r="C55" s="1224"/>
      <c r="D55" s="1224"/>
      <c r="E55" s="1224"/>
      <c r="F55" s="588"/>
      <c r="G55" s="589"/>
      <c r="H55" s="321">
        <v>655</v>
      </c>
      <c r="I55" s="314">
        <f>ROUND(H55+(H55*'Løntabel gældende fra'!D7%),2)</f>
        <v>742.84</v>
      </c>
      <c r="J55" s="255"/>
    </row>
    <row r="56" spans="1:10" ht="15" customHeight="1" thickBot="1">
      <c r="A56" s="245"/>
      <c r="B56" s="245"/>
      <c r="C56" s="245"/>
      <c r="D56" s="245"/>
      <c r="E56" s="245"/>
      <c r="F56" s="246"/>
      <c r="G56" s="245"/>
      <c r="H56" s="246"/>
      <c r="I56" s="245"/>
      <c r="J56" s="255"/>
    </row>
    <row r="57" spans="1:10" ht="21" customHeight="1">
      <c r="A57" s="1171" t="s">
        <v>324</v>
      </c>
      <c r="B57" s="1172"/>
      <c r="C57" s="1172"/>
      <c r="D57" s="1172"/>
      <c r="E57" s="1172"/>
      <c r="F57" s="1172"/>
      <c r="G57" s="1172"/>
      <c r="H57" s="1172"/>
      <c r="I57" s="1173"/>
      <c r="J57" s="255"/>
    </row>
    <row r="58" spans="1:10" ht="21" customHeight="1" thickBot="1">
      <c r="A58" s="1260" t="s">
        <v>308</v>
      </c>
      <c r="B58" s="1261"/>
      <c r="C58" s="1261"/>
      <c r="D58" s="1261"/>
      <c r="E58" s="1261"/>
      <c r="F58" s="1261"/>
      <c r="G58" s="1261"/>
      <c r="H58" s="1261"/>
      <c r="I58" s="1262"/>
      <c r="J58" s="255"/>
    </row>
    <row r="59" spans="1:10" ht="15" customHeight="1">
      <c r="A59" s="1852" t="s">
        <v>181</v>
      </c>
      <c r="B59" s="1853"/>
      <c r="C59" s="1853"/>
      <c r="D59" s="1853"/>
      <c r="E59" s="1853"/>
      <c r="F59" s="1853"/>
      <c r="G59" s="1854"/>
      <c r="H59" s="584" t="s">
        <v>98</v>
      </c>
      <c r="I59" s="585" t="s">
        <v>103</v>
      </c>
      <c r="J59" s="255"/>
    </row>
    <row r="60" spans="1:10" ht="15" customHeight="1" thickBot="1">
      <c r="A60" s="1785"/>
      <c r="B60" s="1786"/>
      <c r="C60" s="1786"/>
      <c r="D60" s="1786"/>
      <c r="E60" s="1786"/>
      <c r="F60" s="1786"/>
      <c r="G60" s="1787"/>
      <c r="H60" s="586">
        <v>40999</v>
      </c>
      <c r="I60" s="587" t="str">
        <f>'Løntabel gældende fra'!D1</f>
        <v>01/04/2022</v>
      </c>
      <c r="J60" s="255"/>
    </row>
    <row r="61" spans="1:10" ht="15" customHeight="1" thickBot="1">
      <c r="A61" s="1788" t="s">
        <v>180</v>
      </c>
      <c r="B61" s="1789"/>
      <c r="C61" s="1789"/>
      <c r="D61" s="1789"/>
      <c r="E61" s="1789"/>
      <c r="F61" s="251"/>
      <c r="G61" s="262"/>
      <c r="H61" s="321">
        <v>0</v>
      </c>
      <c r="I61" s="314">
        <v>0</v>
      </c>
      <c r="J61" s="255"/>
    </row>
    <row r="62" spans="1:10" ht="15" customHeight="1" thickBot="1">
      <c r="A62" s="245"/>
      <c r="B62" s="245"/>
      <c r="C62" s="245"/>
      <c r="D62" s="245"/>
      <c r="E62" s="245"/>
      <c r="F62" s="246"/>
      <c r="G62" s="245"/>
      <c r="H62" s="246"/>
      <c r="I62" s="245"/>
      <c r="J62" s="255"/>
    </row>
    <row r="63" spans="1:10" s="255" customFormat="1" ht="18">
      <c r="A63" s="1171" t="s">
        <v>325</v>
      </c>
      <c r="B63" s="1172"/>
      <c r="C63" s="1172"/>
      <c r="D63" s="1172"/>
      <c r="E63" s="1172"/>
      <c r="F63" s="1172"/>
      <c r="G63" s="1172"/>
      <c r="H63" s="1172"/>
      <c r="I63" s="1173"/>
    </row>
    <row r="64" spans="1:10" s="255" customFormat="1" ht="17" thickBot="1">
      <c r="A64" s="1260" t="s">
        <v>308</v>
      </c>
      <c r="B64" s="1261"/>
      <c r="C64" s="1261"/>
      <c r="D64" s="1261"/>
      <c r="E64" s="1261"/>
      <c r="F64" s="1261"/>
      <c r="G64" s="1261"/>
      <c r="H64" s="1261"/>
      <c r="I64" s="1262"/>
    </row>
    <row r="65" spans="1:9" s="255" customFormat="1" ht="28">
      <c r="A65" s="1220"/>
      <c r="B65" s="1221"/>
      <c r="C65" s="1221"/>
      <c r="D65" s="1221"/>
      <c r="E65" s="1221"/>
      <c r="F65" s="1221"/>
      <c r="G65" s="1222"/>
      <c r="H65" s="645" t="s">
        <v>131</v>
      </c>
      <c r="I65" s="646" t="s">
        <v>340</v>
      </c>
    </row>
    <row r="66" spans="1:9" s="255" customFormat="1" ht="15" thickBot="1">
      <c r="A66" s="1852"/>
      <c r="B66" s="1853"/>
      <c r="C66" s="1853"/>
      <c r="D66" s="1853"/>
      <c r="E66" s="1853"/>
      <c r="F66" s="1853"/>
      <c r="G66" s="1854"/>
      <c r="H66" s="586">
        <v>40999</v>
      </c>
      <c r="I66" s="587" t="str">
        <f>'Løntabel gældende fra'!D1</f>
        <v>01/04/2022</v>
      </c>
    </row>
    <row r="67" spans="1:9" s="255" customFormat="1" ht="15" thickBot="1">
      <c r="A67" s="1223" t="s">
        <v>184</v>
      </c>
      <c r="B67" s="1224"/>
      <c r="C67" s="1224"/>
      <c r="D67" s="1224"/>
      <c r="E67" s="1224"/>
      <c r="F67" s="588"/>
      <c r="G67" s="589"/>
      <c r="H67" s="321">
        <v>10500</v>
      </c>
      <c r="I67" s="322">
        <f>ROUND(H67+(H67*'Løntabel gældende fra'!D7%),2)</f>
        <v>11908.09</v>
      </c>
    </row>
    <row r="68" spans="1:9" s="282" customFormat="1" ht="14">
      <c r="A68" s="279"/>
      <c r="B68" s="279"/>
      <c r="C68" s="279"/>
      <c r="D68" s="279"/>
      <c r="E68" s="279"/>
      <c r="F68" s="266"/>
      <c r="G68" s="266"/>
      <c r="H68" s="280"/>
      <c r="I68" s="281"/>
    </row>
  </sheetData>
  <sheetProtection sheet="1" objects="1" scenarios="1"/>
  <mergeCells count="67">
    <mergeCell ref="G13:G14"/>
    <mergeCell ref="H13:H14"/>
    <mergeCell ref="I13:I14"/>
    <mergeCell ref="J13:J14"/>
    <mergeCell ref="A36:I36"/>
    <mergeCell ref="A18:D19"/>
    <mergeCell ref="A21:D21"/>
    <mergeCell ref="A22:J22"/>
    <mergeCell ref="A29:G29"/>
    <mergeCell ref="A30:G30"/>
    <mergeCell ref="A20:D20"/>
    <mergeCell ref="A31:C32"/>
    <mergeCell ref="D31:E31"/>
    <mergeCell ref="F31:G31"/>
    <mergeCell ref="D32:E32"/>
    <mergeCell ref="F32:G32"/>
    <mergeCell ref="A67:E67"/>
    <mergeCell ref="A55:E55"/>
    <mergeCell ref="A61:E61"/>
    <mergeCell ref="A45:I45"/>
    <mergeCell ref="A47:G48"/>
    <mergeCell ref="A49:E49"/>
    <mergeCell ref="A63:I63"/>
    <mergeCell ref="A65:G66"/>
    <mergeCell ref="A58:I58"/>
    <mergeCell ref="A64:I64"/>
    <mergeCell ref="A59:G60"/>
    <mergeCell ref="A53:G54"/>
    <mergeCell ref="A57:I57"/>
    <mergeCell ref="A50:I50"/>
    <mergeCell ref="A37:I37"/>
    <mergeCell ref="A46:I46"/>
    <mergeCell ref="A52:I52"/>
    <mergeCell ref="A38:G39"/>
    <mergeCell ref="A40:E40"/>
    <mergeCell ref="A41:E41"/>
    <mergeCell ref="A42:F42"/>
    <mergeCell ref="A51:I51"/>
    <mergeCell ref="A1:J1"/>
    <mergeCell ref="A2:J2"/>
    <mergeCell ref="A3:J3"/>
    <mergeCell ref="G8:J8"/>
    <mergeCell ref="A8:F8"/>
    <mergeCell ref="A5:J6"/>
    <mergeCell ref="A4:J4"/>
    <mergeCell ref="I10:I11"/>
    <mergeCell ref="J10:J11"/>
    <mergeCell ref="G10:G11"/>
    <mergeCell ref="H10:H11"/>
    <mergeCell ref="A27:C27"/>
    <mergeCell ref="D27:E27"/>
    <mergeCell ref="F27:G27"/>
    <mergeCell ref="A23:G23"/>
    <mergeCell ref="A25:C26"/>
    <mergeCell ref="D25:E25"/>
    <mergeCell ref="F25:G25"/>
    <mergeCell ref="D26:E26"/>
    <mergeCell ref="F26:G26"/>
    <mergeCell ref="A24:G24"/>
    <mergeCell ref="A16:F16"/>
    <mergeCell ref="A17:F17"/>
    <mergeCell ref="A34:C34"/>
    <mergeCell ref="D34:E34"/>
    <mergeCell ref="F34:G34"/>
    <mergeCell ref="A33:C33"/>
    <mergeCell ref="D33:E33"/>
    <mergeCell ref="F33:G33"/>
  </mergeCells>
  <phoneticPr fontId="6" type="noConversion"/>
  <pageMargins left="0.59" right="0.59" top="0.75" bottom="0.75" header="0.31" footer="0.31"/>
  <pageSetup paperSize="9" scale="59" orientation="portrait" r:id="rId1"/>
  <headerFooter>
    <oddFooter>&amp;C&amp;"Calibri,Normal"&amp;8&amp;K000000Løntabel 3F&amp;R&amp;"Calibri,Normal"&amp;8&amp;K000000&amp;Paf i alt &amp;N</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20</vt:i4>
      </vt:variant>
    </vt:vector>
  </HeadingPairs>
  <TitlesOfParts>
    <vt:vector size="35" baseType="lpstr">
      <vt:lpstr>Forside 1</vt:lpstr>
      <vt:lpstr>Lønoversigt mm.</vt:lpstr>
      <vt:lpstr>Lærere og bh kl ledere</vt:lpstr>
      <vt:lpstr>Ledere</vt:lpstr>
      <vt:lpstr>Gymnasieskoler</vt:lpstr>
      <vt:lpstr>BUPL</vt:lpstr>
      <vt:lpstr>3f (LS_DSSV)</vt:lpstr>
      <vt:lpstr>HK (LS)</vt:lpstr>
      <vt:lpstr>3f (DFF, DPS, LS, DSSV)</vt:lpstr>
      <vt:lpstr>3F (DPS)</vt:lpstr>
      <vt:lpstr>HK (DFF, DPS, LS)</vt:lpstr>
      <vt:lpstr>Krifa (2)</vt:lpstr>
      <vt:lpstr>Generelle satser</vt:lpstr>
      <vt:lpstr>Statens skalatrin</vt:lpstr>
      <vt:lpstr>Løntabel gældende fra</vt:lpstr>
      <vt:lpstr>'3f (DFF, DPS, LS, DSSV)'!Udskriftsområde</vt:lpstr>
      <vt:lpstr>'3f (LS_DSSV)'!Udskriftsområde</vt:lpstr>
      <vt:lpstr>BUPL!Udskriftsområde</vt:lpstr>
      <vt:lpstr>'Forside 1'!Udskriftsområde</vt:lpstr>
      <vt:lpstr>'Generelle satser'!Udskriftsområde</vt:lpstr>
      <vt:lpstr>Gymnasieskoler!Udskriftsområde</vt:lpstr>
      <vt:lpstr>'HK (DFF, DPS, LS)'!Udskriftsområde</vt:lpstr>
      <vt:lpstr>'HK (LS)'!Udskriftsområde</vt:lpstr>
      <vt:lpstr>'Krifa (2)'!Udskriftsområde</vt:lpstr>
      <vt:lpstr>Ledere!Udskriftsområde</vt:lpstr>
      <vt:lpstr>'Lærere og bh kl ledere'!Udskriftsområde</vt:lpstr>
      <vt:lpstr>'Løntabel gældende fra'!Udskriftsområde</vt:lpstr>
      <vt:lpstr>'Statens skalatrin'!Udskriftsområde</vt:lpstr>
      <vt:lpstr>'3f (DFF, DPS, LS, DSSV)'!Udskriftstitler</vt:lpstr>
      <vt:lpstr>'3f (LS_DSSV)'!Udskriftstitler</vt:lpstr>
      <vt:lpstr>BUPL!Udskriftstitler</vt:lpstr>
      <vt:lpstr>'Generelle satser'!Udskriftstitler</vt:lpstr>
      <vt:lpstr>Gymnasieskoler!Udskriftstitler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Jette Vibe Johansen</cp:lastModifiedBy>
  <cp:lastPrinted>2020-03-11T08:38:44Z</cp:lastPrinted>
  <dcterms:created xsi:type="dcterms:W3CDTF">2014-05-07T09:31:49Z</dcterms:created>
  <dcterms:modified xsi:type="dcterms:W3CDTF">2022-05-19T08:37:59Z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